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bocofs\co\COShared\Sustainability\Business Sustainability\Focus Areas\Energy\Rebates\Estimators\"/>
    </mc:Choice>
  </mc:AlternateContent>
  <xr:revisionPtr revIDLastSave="0" documentId="13_ncr:1_{135ECC0E-BEE4-4CA8-9F32-F52E34041BD4}" xr6:coauthVersionLast="41" xr6:coauthVersionMax="41" xr10:uidLastSave="{00000000-0000-0000-0000-000000000000}"/>
  <bookViews>
    <workbookView xWindow="-120" yWindow="-120" windowWidth="29040" windowHeight="15840" tabRatio="614" xr2:uid="{00000000-000D-0000-FFFF-FFFF00000000}"/>
  </bookViews>
  <sheets>
    <sheet name="HVAC Rebate Estimator" sheetId="26" r:id="rId1"/>
    <sheet name="Lookups" sheetId="28" r:id="rId2"/>
    <sheet name="Incremental Cost" sheetId="30" state="hidden" r:id="rId3"/>
  </sheets>
  <definedNames>
    <definedName name="Baseline_Eff_lookup">Lookups!$A$25:$N$30</definedName>
    <definedName name="DateRange_lookup">Lookups!$Q$3:$R$101</definedName>
    <definedName name="Economizer_Savings_Lookup">Lookups!$A$99:$B$113</definedName>
    <definedName name="EFLH_lookup">Lookups!$A$3:$C$17</definedName>
    <definedName name="EvapCooler_lookup">Lookups!$G$64:$I$76</definedName>
    <definedName name="Fan_Operating_Hrs_lookup">Lookups!$A$3:$D$17</definedName>
    <definedName name="_xlnm.Print_Area" localSheetId="0">'HVAC Rebate Estimator'!$A$1:$Z$70</definedName>
    <definedName name="ProgramThermostat_Savings_lookup">Lookups!$A$81:$G$95</definedName>
    <definedName name="VFD_HP_lookup">Lookups!$J$67:$K$123</definedName>
    <definedName name="VFD_MotorEff_lookup">Lookups!$J$67:$L$123</definedName>
    <definedName name="VFD_Rebate_lookup">Lookups!$J$67:$N$123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9" i="26" l="1"/>
  <c r="O55" i="26"/>
  <c r="S28" i="26" l="1"/>
  <c r="V56" i="26" l="1"/>
  <c r="O56" i="26"/>
  <c r="S68" i="26" l="1"/>
  <c r="U68" i="26"/>
  <c r="S31" i="26"/>
  <c r="S27" i="26"/>
  <c r="V68" i="26" l="1"/>
  <c r="N35" i="26"/>
  <c r="M27" i="26" l="1"/>
  <c r="J27" i="26" s="1"/>
  <c r="J26" i="26" l="1"/>
  <c r="U46" i="26" l="1"/>
  <c r="T8" i="26" l="1"/>
  <c r="V49" i="26" l="1"/>
  <c r="V52" i="26" l="1"/>
  <c r="V51" i="26"/>
  <c r="V50" i="26"/>
  <c r="U32" i="26"/>
  <c r="U28" i="26"/>
  <c r="U27" i="26"/>
  <c r="V27" i="26" s="1"/>
  <c r="N36" i="26" l="1"/>
  <c r="M49" i="26"/>
  <c r="N49" i="26"/>
  <c r="M50" i="26"/>
  <c r="N50" i="26"/>
  <c r="O50" i="26"/>
  <c r="W50" i="26" l="1"/>
  <c r="Y50" i="26"/>
  <c r="W49" i="26"/>
  <c r="Y49" i="26"/>
  <c r="X59" i="26"/>
  <c r="U59" i="26"/>
  <c r="S59" i="26"/>
  <c r="N59" i="26"/>
  <c r="M59" i="26"/>
  <c r="M60" i="26"/>
  <c r="N60" i="26"/>
  <c r="S60" i="26"/>
  <c r="U60" i="26"/>
  <c r="X60" i="26"/>
  <c r="X58" i="26"/>
  <c r="U58" i="26"/>
  <c r="S58" i="26"/>
  <c r="N58" i="26"/>
  <c r="M58" i="26"/>
  <c r="X55" i="26"/>
  <c r="N55" i="26"/>
  <c r="M55" i="26"/>
  <c r="J55" i="26" s="1"/>
  <c r="O51" i="26"/>
  <c r="N51" i="26"/>
  <c r="M51" i="26"/>
  <c r="U45" i="26"/>
  <c r="N45" i="26"/>
  <c r="M45" i="26"/>
  <c r="J45" i="26" s="1"/>
  <c r="U44" i="26"/>
  <c r="N44" i="26"/>
  <c r="M44" i="26"/>
  <c r="J44" i="26" s="1"/>
  <c r="U43" i="26"/>
  <c r="N43" i="26"/>
  <c r="M43" i="26"/>
  <c r="J43" i="26" s="1"/>
  <c r="U40" i="26"/>
  <c r="N40" i="26"/>
  <c r="M40" i="26"/>
  <c r="J40" i="26" s="1"/>
  <c r="U41" i="26"/>
  <c r="N41" i="26"/>
  <c r="M41" i="26"/>
  <c r="J41" i="26" s="1"/>
  <c r="U42" i="26"/>
  <c r="N42" i="26"/>
  <c r="M42" i="26"/>
  <c r="J42" i="26" s="1"/>
  <c r="U36" i="26"/>
  <c r="M36" i="26"/>
  <c r="J36" i="26" s="1"/>
  <c r="O36" i="26" s="1"/>
  <c r="U37" i="26"/>
  <c r="N37" i="26"/>
  <c r="M37" i="26"/>
  <c r="J37" i="26" s="1"/>
  <c r="U38" i="26"/>
  <c r="N38" i="26"/>
  <c r="M38" i="26"/>
  <c r="J38" i="26" s="1"/>
  <c r="X32" i="26"/>
  <c r="N32" i="26"/>
  <c r="M32" i="26"/>
  <c r="J32" i="26" s="1"/>
  <c r="U33" i="26"/>
  <c r="N33" i="26"/>
  <c r="M33" i="26"/>
  <c r="J33" i="26" s="1"/>
  <c r="U34" i="26"/>
  <c r="N34" i="26"/>
  <c r="M34" i="26"/>
  <c r="J34" i="26" s="1"/>
  <c r="X28" i="26"/>
  <c r="N28" i="26"/>
  <c r="O28" i="26" s="1"/>
  <c r="M28" i="26"/>
  <c r="J28" i="26" s="1"/>
  <c r="U29" i="26"/>
  <c r="N29" i="26"/>
  <c r="M29" i="26"/>
  <c r="J29" i="26" s="1"/>
  <c r="M30" i="26"/>
  <c r="J30" i="26" s="1"/>
  <c r="N30" i="26"/>
  <c r="U30" i="26"/>
  <c r="X23" i="26"/>
  <c r="U23" i="26"/>
  <c r="N23" i="26"/>
  <c r="O23" i="26" s="1"/>
  <c r="M23" i="26"/>
  <c r="J23" i="26" s="1"/>
  <c r="X24" i="26"/>
  <c r="U24" i="26"/>
  <c r="N24" i="26"/>
  <c r="M24" i="26"/>
  <c r="J24" i="26" s="1"/>
  <c r="X22" i="26"/>
  <c r="U22" i="26"/>
  <c r="N22" i="26"/>
  <c r="O22" i="26" s="1"/>
  <c r="M22" i="26"/>
  <c r="J22" i="26" s="1"/>
  <c r="U19" i="26"/>
  <c r="X19" i="26" s="1"/>
  <c r="N19" i="26"/>
  <c r="M19" i="26"/>
  <c r="J19" i="26" s="1"/>
  <c r="U18" i="26"/>
  <c r="N18" i="26"/>
  <c r="M18" i="26"/>
  <c r="J18" i="26" s="1"/>
  <c r="U17" i="26"/>
  <c r="X17" i="26" s="1"/>
  <c r="N17" i="26"/>
  <c r="M17" i="26"/>
  <c r="J17" i="26" s="1"/>
  <c r="U16" i="26"/>
  <c r="X16" i="26" s="1"/>
  <c r="N16" i="26"/>
  <c r="M16" i="26"/>
  <c r="J16" i="26" s="1"/>
  <c r="X43" i="26" l="1"/>
  <c r="X45" i="26"/>
  <c r="X44" i="26"/>
  <c r="X40" i="26"/>
  <c r="X41" i="26"/>
  <c r="X42" i="26"/>
  <c r="X36" i="26"/>
  <c r="X37" i="26"/>
  <c r="X38" i="26"/>
  <c r="X33" i="26"/>
  <c r="X34" i="26"/>
  <c r="X29" i="26"/>
  <c r="O48" i="30"/>
  <c r="N48" i="30"/>
  <c r="O55" i="30"/>
  <c r="N55" i="30"/>
  <c r="O34" i="26"/>
  <c r="O46" i="30"/>
  <c r="N46" i="30"/>
  <c r="O19" i="30"/>
  <c r="N19" i="30"/>
  <c r="N18" i="30"/>
  <c r="O18" i="30"/>
  <c r="N17" i="30"/>
  <c r="O17" i="30"/>
  <c r="R8" i="30"/>
  <c r="S8" i="30"/>
  <c r="O18" i="26"/>
  <c r="S7" i="30"/>
  <c r="R7" i="30"/>
  <c r="S6" i="30"/>
  <c r="R6" i="30"/>
  <c r="O16" i="26"/>
  <c r="S5" i="30"/>
  <c r="R5" i="30"/>
  <c r="O33" i="26"/>
  <c r="O45" i="30"/>
  <c r="N45" i="30"/>
  <c r="N44" i="30"/>
  <c r="O44" i="30"/>
  <c r="O30" i="26"/>
  <c r="O42" i="30"/>
  <c r="N42" i="30"/>
  <c r="O29" i="26"/>
  <c r="O41" i="30"/>
  <c r="N41" i="30"/>
  <c r="O40" i="30"/>
  <c r="N40" i="30"/>
  <c r="O37" i="26"/>
  <c r="O49" i="30"/>
  <c r="N49" i="30"/>
  <c r="O38" i="26"/>
  <c r="O50" i="30"/>
  <c r="N50" i="30"/>
  <c r="O40" i="26"/>
  <c r="O52" i="30"/>
  <c r="N52" i="30"/>
  <c r="O41" i="26"/>
  <c r="O53" i="30"/>
  <c r="N53" i="30"/>
  <c r="O42" i="26"/>
  <c r="O54" i="30"/>
  <c r="N54" i="30"/>
  <c r="O44" i="26"/>
  <c r="N56" i="30"/>
  <c r="O56" i="30"/>
  <c r="O45" i="26"/>
  <c r="O57" i="30"/>
  <c r="N57" i="30"/>
  <c r="V59" i="26"/>
  <c r="O43" i="26"/>
  <c r="O32" i="26"/>
  <c r="V58" i="26"/>
  <c r="V60" i="26"/>
  <c r="X18" i="26"/>
  <c r="O24" i="26"/>
  <c r="O19" i="26"/>
  <c r="O17" i="26"/>
  <c r="Y51" i="26"/>
  <c r="W51" i="26"/>
  <c r="X30" i="26"/>
  <c r="F56" i="30"/>
  <c r="F57" i="30"/>
  <c r="F58" i="30"/>
  <c r="F59" i="30"/>
  <c r="F60" i="30"/>
  <c r="F61" i="30"/>
  <c r="F62" i="30"/>
  <c r="F63" i="30"/>
  <c r="F64" i="30"/>
  <c r="F65" i="30"/>
  <c r="F66" i="30"/>
  <c r="F67" i="30"/>
  <c r="F55" i="30"/>
  <c r="U21" i="26" l="1"/>
  <c r="B81" i="28"/>
  <c r="N61" i="26"/>
  <c r="B108" i="28"/>
  <c r="B109" i="28"/>
  <c r="E11" i="28" l="1"/>
  <c r="N15" i="26" l="1"/>
  <c r="D80" i="30" l="1"/>
  <c r="G72" i="30"/>
  <c r="H72" i="30" s="1"/>
  <c r="J72" i="30" s="1"/>
  <c r="G73" i="30"/>
  <c r="H73" i="30" s="1"/>
  <c r="J73" i="30" s="1"/>
  <c r="G74" i="30"/>
  <c r="H74" i="30" s="1"/>
  <c r="J74" i="30" s="1"/>
  <c r="G75" i="30"/>
  <c r="H75" i="30" s="1"/>
  <c r="J75" i="30" s="1"/>
  <c r="G76" i="30"/>
  <c r="H76" i="30" s="1"/>
  <c r="J76" i="30" s="1"/>
  <c r="G77" i="30"/>
  <c r="H77" i="30" s="1"/>
  <c r="J77" i="30" s="1"/>
  <c r="G78" i="30"/>
  <c r="H78" i="30" s="1"/>
  <c r="J78" i="30" s="1"/>
  <c r="G79" i="30"/>
  <c r="H79" i="30" s="1"/>
  <c r="J79" i="30" s="1"/>
  <c r="G80" i="30"/>
  <c r="H80" i="30" s="1"/>
  <c r="J80" i="30" s="1"/>
  <c r="G81" i="30"/>
  <c r="H81" i="30" s="1"/>
  <c r="J81" i="30" s="1"/>
  <c r="G71" i="30"/>
  <c r="H71" i="30" s="1"/>
  <c r="J71" i="30" s="1"/>
  <c r="D40" i="30"/>
  <c r="D41" i="30"/>
  <c r="D42" i="30"/>
  <c r="D43" i="30"/>
  <c r="D44" i="30"/>
  <c r="D45" i="30"/>
  <c r="D46" i="30"/>
  <c r="D47" i="30"/>
  <c r="D48" i="30"/>
  <c r="D49" i="30"/>
  <c r="D39" i="30"/>
  <c r="N123" i="28"/>
  <c r="N122" i="28"/>
  <c r="N121" i="28"/>
  <c r="N120" i="28"/>
  <c r="N119" i="28"/>
  <c r="N118" i="28"/>
  <c r="N117" i="28"/>
  <c r="N116" i="28"/>
  <c r="N115" i="28"/>
  <c r="N114" i="28"/>
  <c r="N113" i="28"/>
  <c r="N112" i="28"/>
  <c r="N111" i="28"/>
  <c r="N110" i="28"/>
  <c r="N109" i="28"/>
  <c r="N108" i="28"/>
  <c r="N107" i="28"/>
  <c r="N106" i="28"/>
  <c r="N105" i="28"/>
  <c r="N104" i="28"/>
  <c r="N103" i="28"/>
  <c r="N102" i="28"/>
  <c r="N101" i="28"/>
  <c r="N100" i="28"/>
  <c r="N99" i="28"/>
  <c r="N98" i="28"/>
  <c r="N97" i="28"/>
  <c r="N96" i="28"/>
  <c r="N95" i="28"/>
  <c r="N94" i="28"/>
  <c r="N93" i="28"/>
  <c r="N92" i="28"/>
  <c r="N91" i="28"/>
  <c r="N90" i="28"/>
  <c r="N89" i="28"/>
  <c r="N88" i="28"/>
  <c r="N87" i="28"/>
  <c r="N86" i="28"/>
  <c r="N85" i="28"/>
  <c r="N84" i="28"/>
  <c r="N83" i="28"/>
  <c r="N82" i="28"/>
  <c r="N81" i="28"/>
  <c r="N80" i="28"/>
  <c r="N79" i="28"/>
  <c r="N78" i="28"/>
  <c r="N77" i="28"/>
  <c r="N76" i="28"/>
  <c r="N75" i="28"/>
  <c r="N74" i="28"/>
  <c r="N73" i="28"/>
  <c r="N72" i="28"/>
  <c r="N71" i="28"/>
  <c r="X61" i="26" s="1"/>
  <c r="N70" i="28"/>
  <c r="N69" i="28"/>
  <c r="N68" i="28"/>
  <c r="N67" i="28"/>
  <c r="X21" i="26"/>
  <c r="D50" i="30" l="1"/>
  <c r="B87" i="30" s="1"/>
  <c r="J82" i="30"/>
  <c r="C87" i="30" s="1"/>
  <c r="O65" i="26"/>
  <c r="N65" i="26" s="1"/>
  <c r="O64" i="26"/>
  <c r="N64" i="26" s="1"/>
  <c r="I76" i="28"/>
  <c r="I75" i="28"/>
  <c r="I74" i="28"/>
  <c r="I73" i="28"/>
  <c r="I72" i="28"/>
  <c r="I71" i="28"/>
  <c r="I70" i="28"/>
  <c r="I69" i="28"/>
  <c r="I68" i="28"/>
  <c r="I67" i="28"/>
  <c r="I66" i="28"/>
  <c r="I65" i="28"/>
  <c r="I64" i="28"/>
  <c r="M61" i="26" l="1"/>
  <c r="M52" i="26"/>
  <c r="M46" i="26"/>
  <c r="M39" i="26"/>
  <c r="J39" i="26" s="1"/>
  <c r="M35" i="26"/>
  <c r="J35" i="26" s="1"/>
  <c r="M31" i="26"/>
  <c r="J31" i="26" s="1"/>
  <c r="M21" i="26"/>
  <c r="J21" i="26" s="1"/>
  <c r="M15" i="26"/>
  <c r="J15" i="26" s="1"/>
  <c r="R4" i="30" l="1"/>
  <c r="S4" i="30"/>
  <c r="N52" i="26"/>
  <c r="N46" i="26"/>
  <c r="N39" i="26"/>
  <c r="N31" i="26"/>
  <c r="N27" i="26"/>
  <c r="O27" i="26" s="1"/>
  <c r="N21" i="26"/>
  <c r="O16" i="30" l="1"/>
  <c r="N16" i="30"/>
  <c r="O39" i="30" l="1"/>
  <c r="N39" i="30"/>
  <c r="J46" i="26"/>
  <c r="O21" i="26"/>
  <c r="O15" i="26"/>
  <c r="O51" i="30" l="1"/>
  <c r="N51" i="30"/>
  <c r="O35" i="26"/>
  <c r="N47" i="30"/>
  <c r="O47" i="30"/>
  <c r="N43" i="30"/>
  <c r="O43" i="30"/>
  <c r="O46" i="26"/>
  <c r="N58" i="30"/>
  <c r="O58" i="30"/>
  <c r="O31" i="26"/>
  <c r="O39" i="26"/>
  <c r="O52" i="26"/>
  <c r="E67" i="30" l="1"/>
  <c r="E66" i="30"/>
  <c r="E65" i="30"/>
  <c r="E64" i="30"/>
  <c r="E63" i="30"/>
  <c r="E62" i="30"/>
  <c r="E61" i="30"/>
  <c r="E60" i="30"/>
  <c r="E59" i="30"/>
  <c r="E58" i="30"/>
  <c r="E57" i="30"/>
  <c r="E56" i="30"/>
  <c r="E55" i="30"/>
  <c r="M73" i="28" l="1"/>
  <c r="M92" i="28"/>
  <c r="M111" i="28"/>
  <c r="M96" i="28"/>
  <c r="M115" i="28"/>
  <c r="M77" i="28"/>
  <c r="M81" i="28"/>
  <c r="M100" i="28"/>
  <c r="M119" i="28"/>
  <c r="M108" i="28"/>
  <c r="M106" i="28"/>
  <c r="M86" i="28"/>
  <c r="M68" i="28"/>
  <c r="M105" i="28"/>
  <c r="M89" i="28"/>
  <c r="M69" i="28"/>
  <c r="M88" i="28"/>
  <c r="M70" i="28"/>
  <c r="M107" i="28"/>
  <c r="M87" i="28"/>
  <c r="M67" i="28"/>
  <c r="M112" i="28"/>
  <c r="M74" i="28"/>
  <c r="M93" i="28"/>
  <c r="M116" i="28"/>
  <c r="M78" i="28"/>
  <c r="M97" i="28"/>
  <c r="M120" i="28"/>
  <c r="M104" i="28"/>
  <c r="M84" i="28"/>
  <c r="M103" i="28"/>
  <c r="M83" i="28"/>
  <c r="M122" i="28"/>
  <c r="M102" i="28"/>
  <c r="M82" i="28"/>
  <c r="M121" i="28"/>
  <c r="M101" i="28"/>
  <c r="M85" i="28"/>
  <c r="M123" i="28"/>
  <c r="M90" i="28"/>
  <c r="M109" i="28"/>
  <c r="M71" i="28"/>
  <c r="M75" i="28"/>
  <c r="M94" i="28"/>
  <c r="M113" i="28"/>
  <c r="M98" i="28"/>
  <c r="M117" i="28"/>
  <c r="M79" i="28"/>
  <c r="M72" i="28"/>
  <c r="M91" i="28"/>
  <c r="M110" i="28"/>
  <c r="M114" i="28"/>
  <c r="M76" i="28"/>
  <c r="M95" i="28"/>
  <c r="M99" i="28"/>
  <c r="M118" i="28"/>
  <c r="M80" i="28"/>
  <c r="H66" i="28"/>
  <c r="H74" i="28"/>
  <c r="H76" i="28"/>
  <c r="H75" i="28"/>
  <c r="H73" i="28"/>
  <c r="H72" i="28"/>
  <c r="H71" i="28"/>
  <c r="H70" i="28"/>
  <c r="H69" i="28"/>
  <c r="H68" i="28"/>
  <c r="H67" i="28"/>
  <c r="H65" i="28"/>
  <c r="H64" i="28"/>
  <c r="S61" i="26" l="1"/>
  <c r="E95" i="28"/>
  <c r="E94" i="28"/>
  <c r="E93" i="28"/>
  <c r="E92" i="28"/>
  <c r="E91" i="28"/>
  <c r="E90" i="28"/>
  <c r="E89" i="28"/>
  <c r="E88" i="28"/>
  <c r="E86" i="28"/>
  <c r="E85" i="28"/>
  <c r="E84" i="28"/>
  <c r="E83" i="28"/>
  <c r="E82" i="28"/>
  <c r="E81" i="28"/>
  <c r="D95" i="28"/>
  <c r="D94" i="28"/>
  <c r="D93" i="28"/>
  <c r="D92" i="28"/>
  <c r="D91" i="28"/>
  <c r="D90" i="28"/>
  <c r="D89" i="28"/>
  <c r="D88" i="28"/>
  <c r="D86" i="28"/>
  <c r="D85" i="28"/>
  <c r="D84" i="28"/>
  <c r="D83" i="28"/>
  <c r="D82" i="28"/>
  <c r="D81" i="28"/>
  <c r="C95" i="28"/>
  <c r="C94" i="28"/>
  <c r="G94" i="28" s="1"/>
  <c r="C93" i="28"/>
  <c r="C92" i="28"/>
  <c r="G92" i="28" s="1"/>
  <c r="C91" i="28"/>
  <c r="C90" i="28"/>
  <c r="G90" i="28" s="1"/>
  <c r="C89" i="28"/>
  <c r="C88" i="28"/>
  <c r="G88" i="28" s="1"/>
  <c r="C86" i="28"/>
  <c r="G86" i="28" s="1"/>
  <c r="C85" i="28"/>
  <c r="G85" i="28" s="1"/>
  <c r="C84" i="28"/>
  <c r="G84" i="28" s="1"/>
  <c r="C83" i="28"/>
  <c r="C82" i="28"/>
  <c r="C81" i="28"/>
  <c r="G81" i="28" s="1"/>
  <c r="B95" i="28"/>
  <c r="F95" i="28" s="1"/>
  <c r="B94" i="28"/>
  <c r="F94" i="28" s="1"/>
  <c r="B93" i="28"/>
  <c r="F93" i="28" s="1"/>
  <c r="B92" i="28"/>
  <c r="B91" i="28"/>
  <c r="F91" i="28" s="1"/>
  <c r="B90" i="28"/>
  <c r="F90" i="28" s="1"/>
  <c r="B89" i="28"/>
  <c r="F89" i="28" s="1"/>
  <c r="B88" i="28"/>
  <c r="B86" i="28"/>
  <c r="F86" i="28" s="1"/>
  <c r="B85" i="28"/>
  <c r="F85" i="28" s="1"/>
  <c r="B84" i="28"/>
  <c r="F84" i="28" s="1"/>
  <c r="B83" i="28"/>
  <c r="B82" i="28"/>
  <c r="F82" i="28" s="1"/>
  <c r="G87" i="28"/>
  <c r="F87" i="28"/>
  <c r="G82" i="28" l="1"/>
  <c r="G93" i="28"/>
  <c r="G95" i="28"/>
  <c r="G89" i="28"/>
  <c r="F83" i="28"/>
  <c r="G91" i="28"/>
  <c r="G83" i="28"/>
  <c r="F88" i="28"/>
  <c r="F92" i="28"/>
  <c r="F81" i="28"/>
  <c r="E86" i="30"/>
  <c r="E85" i="30"/>
  <c r="C79" i="30"/>
  <c r="C78" i="30"/>
  <c r="C77" i="30"/>
  <c r="C76" i="30"/>
  <c r="C75" i="30"/>
  <c r="E87" i="30" l="1"/>
  <c r="C80" i="30"/>
  <c r="E80" i="30" l="1"/>
  <c r="F80" i="30"/>
  <c r="H87" i="30"/>
  <c r="S55" i="26" s="1"/>
  <c r="V55" i="26" s="1"/>
  <c r="B57" i="28"/>
  <c r="Y55" i="26" l="1"/>
  <c r="W55" i="26"/>
  <c r="U64" i="26"/>
  <c r="B94" i="30"/>
  <c r="S64" i="26" s="1"/>
  <c r="B91" i="30"/>
  <c r="B92" i="30" s="1"/>
  <c r="F17" i="30"/>
  <c r="F18" i="30"/>
  <c r="F19" i="30"/>
  <c r="F20" i="30"/>
  <c r="F21" i="30"/>
  <c r="F22" i="30"/>
  <c r="F23" i="30"/>
  <c r="F24" i="30"/>
  <c r="F16" i="30"/>
  <c r="I32" i="28"/>
  <c r="E25" i="30"/>
  <c r="V64" i="26" l="1"/>
  <c r="F25" i="30"/>
  <c r="W64" i="26" l="1"/>
  <c r="Y64" i="26"/>
  <c r="Y65" i="26"/>
  <c r="W65" i="26"/>
  <c r="I5" i="30"/>
  <c r="I6" i="30"/>
  <c r="I7" i="30"/>
  <c r="I8" i="30"/>
  <c r="I9" i="30"/>
  <c r="I10" i="30"/>
  <c r="I4" i="30"/>
  <c r="J10" i="30"/>
  <c r="J9" i="30"/>
  <c r="J8" i="30"/>
  <c r="J7" i="30"/>
  <c r="J6" i="30"/>
  <c r="J5" i="30"/>
  <c r="J4" i="30"/>
  <c r="U61" i="26"/>
  <c r="V61" i="26" s="1"/>
  <c r="B56" i="28"/>
  <c r="O58" i="26" l="1"/>
  <c r="O60" i="26"/>
  <c r="O59" i="26"/>
  <c r="O61" i="26"/>
  <c r="Y61" i="26" s="1"/>
  <c r="P19" i="30"/>
  <c r="M19" i="30" s="1"/>
  <c r="S24" i="26" s="1"/>
  <c r="P18" i="30"/>
  <c r="M18" i="30" s="1"/>
  <c r="S23" i="26" s="1"/>
  <c r="P17" i="30"/>
  <c r="M17" i="30" s="1"/>
  <c r="S22" i="26" s="1"/>
  <c r="I11" i="30"/>
  <c r="J11" i="30"/>
  <c r="I10" i="28"/>
  <c r="W61" i="26" l="1"/>
  <c r="Y59" i="26"/>
  <c r="W59" i="26"/>
  <c r="Y60" i="26"/>
  <c r="W60" i="26"/>
  <c r="Y58" i="26"/>
  <c r="W58" i="26"/>
  <c r="T6" i="30"/>
  <c r="Q6" i="30" s="1"/>
  <c r="S17" i="26" s="1"/>
  <c r="T5" i="30"/>
  <c r="Q5" i="30" s="1"/>
  <c r="S16" i="26" s="1"/>
  <c r="T8" i="30"/>
  <c r="Q8" i="30" s="1"/>
  <c r="S19" i="26" s="1"/>
  <c r="T7" i="30"/>
  <c r="Q7" i="30" s="1"/>
  <c r="S18" i="26" s="1"/>
  <c r="D34" i="30"/>
  <c r="D33" i="30"/>
  <c r="D32" i="30"/>
  <c r="D31" i="30"/>
  <c r="D30" i="30"/>
  <c r="H50" i="30" s="1"/>
  <c r="S46" i="26" l="1"/>
  <c r="V46" i="26" s="1"/>
  <c r="S42" i="26"/>
  <c r="V42" i="26" s="1"/>
  <c r="S38" i="26"/>
  <c r="V38" i="26" s="1"/>
  <c r="S34" i="26"/>
  <c r="V34" i="26" s="1"/>
  <c r="S30" i="26"/>
  <c r="V30" i="26" s="1"/>
  <c r="S33" i="26"/>
  <c r="V33" i="26" s="1"/>
  <c r="S29" i="26"/>
  <c r="V29" i="26" s="1"/>
  <c r="S44" i="26"/>
  <c r="V44" i="26" s="1"/>
  <c r="S40" i="26"/>
  <c r="V40" i="26" s="1"/>
  <c r="S36" i="26"/>
  <c r="V36" i="26" s="1"/>
  <c r="S32" i="26"/>
  <c r="V32" i="26" s="1"/>
  <c r="V28" i="26"/>
  <c r="S43" i="26"/>
  <c r="V43" i="26" s="1"/>
  <c r="S39" i="26"/>
  <c r="S35" i="26"/>
  <c r="S45" i="26"/>
  <c r="V45" i="26" s="1"/>
  <c r="S41" i="26"/>
  <c r="V41" i="26" s="1"/>
  <c r="S37" i="26"/>
  <c r="V37" i="26" s="1"/>
  <c r="P48" i="30"/>
  <c r="M48" i="30" s="1"/>
  <c r="P50" i="30"/>
  <c r="M50" i="30" s="1"/>
  <c r="P54" i="30"/>
  <c r="M54" i="30" s="1"/>
  <c r="P45" i="30"/>
  <c r="M45" i="30" s="1"/>
  <c r="P57" i="30"/>
  <c r="M57" i="30" s="1"/>
  <c r="P46" i="30"/>
  <c r="M46" i="30" s="1"/>
  <c r="P55" i="30"/>
  <c r="M55" i="30" s="1"/>
  <c r="P56" i="30"/>
  <c r="M56" i="30" s="1"/>
  <c r="P52" i="30"/>
  <c r="M52" i="30" s="1"/>
  <c r="P44" i="30"/>
  <c r="M44" i="30" s="1"/>
  <c r="P40" i="30"/>
  <c r="M40" i="30" s="1"/>
  <c r="P53" i="30"/>
  <c r="M53" i="30" s="1"/>
  <c r="P42" i="30"/>
  <c r="M42" i="30" s="1"/>
  <c r="P49" i="30"/>
  <c r="M49" i="30" s="1"/>
  <c r="P41" i="30"/>
  <c r="M41" i="30" s="1"/>
  <c r="E48" i="30"/>
  <c r="F48" i="30" s="1"/>
  <c r="E44" i="30"/>
  <c r="F44" i="30" s="1"/>
  <c r="E40" i="30"/>
  <c r="F40" i="30" s="1"/>
  <c r="E43" i="30"/>
  <c r="F43" i="30" s="1"/>
  <c r="E42" i="30"/>
  <c r="F42" i="30" s="1"/>
  <c r="E49" i="30"/>
  <c r="F49" i="30" s="1"/>
  <c r="E45" i="30"/>
  <c r="F45" i="30" s="1"/>
  <c r="E41" i="30"/>
  <c r="F41" i="30" s="1"/>
  <c r="E47" i="30"/>
  <c r="F47" i="30" s="1"/>
  <c r="E39" i="30"/>
  <c r="F39" i="30" s="1"/>
  <c r="E46" i="30"/>
  <c r="F46" i="30" s="1"/>
  <c r="U15" i="26"/>
  <c r="X15" i="26" l="1"/>
  <c r="T4" i="30" s="1"/>
  <c r="Q4" i="30" s="1"/>
  <c r="S15" i="26" s="1"/>
  <c r="F50" i="30"/>
  <c r="I50" i="30" s="1"/>
  <c r="C25" i="30"/>
  <c r="P16" i="30" s="1"/>
  <c r="M16" i="30" s="1"/>
  <c r="S21" i="26" s="1"/>
  <c r="V21" i="26" l="1"/>
  <c r="V23" i="26"/>
  <c r="V24" i="26"/>
  <c r="V22" i="26"/>
  <c r="V18" i="26"/>
  <c r="V16" i="26"/>
  <c r="V19" i="26"/>
  <c r="V17" i="26"/>
  <c r="Y24" i="26" l="1"/>
  <c r="W24" i="26"/>
  <c r="W23" i="26"/>
  <c r="Y23" i="26"/>
  <c r="Y22" i="26"/>
  <c r="W22" i="26"/>
  <c r="W17" i="26"/>
  <c r="Y17" i="26"/>
  <c r="W19" i="26"/>
  <c r="Y19" i="26"/>
  <c r="Y16" i="26"/>
  <c r="W16" i="26"/>
  <c r="Y18" i="26"/>
  <c r="W18" i="26"/>
  <c r="W21" i="26"/>
  <c r="Y21" i="26"/>
  <c r="W52" i="26"/>
  <c r="Y52" i="26"/>
  <c r="B100" i="28"/>
  <c r="B113" i="28"/>
  <c r="B104" i="28"/>
  <c r="B103" i="28"/>
  <c r="B99" i="28"/>
  <c r="B107" i="28"/>
  <c r="B101" i="28"/>
  <c r="B105" i="28"/>
  <c r="B110" i="28"/>
  <c r="B112" i="28"/>
  <c r="B111" i="28"/>
  <c r="B106" i="28"/>
  <c r="B102" i="28"/>
  <c r="U39" i="26"/>
  <c r="V39" i="26" s="1"/>
  <c r="U35" i="26"/>
  <c r="V35" i="26" s="1"/>
  <c r="U31" i="26"/>
  <c r="V31" i="26" s="1"/>
  <c r="X39" i="26" l="1"/>
  <c r="P51" i="30" s="1"/>
  <c r="M51" i="30" s="1"/>
  <c r="X35" i="26"/>
  <c r="P47" i="30" s="1"/>
  <c r="M47" i="30" s="1"/>
  <c r="X27" i="26"/>
  <c r="X46" i="26"/>
  <c r="P58" i="30" s="1"/>
  <c r="M58" i="30" s="1"/>
  <c r="X31" i="26"/>
  <c r="P39" i="30" l="1"/>
  <c r="M39" i="30" s="1"/>
  <c r="P43" i="30"/>
  <c r="M43" i="30" s="1"/>
  <c r="W30" i="26" l="1"/>
  <c r="Y30" i="26"/>
  <c r="Y29" i="26"/>
  <c r="W29" i="26"/>
  <c r="W28" i="26"/>
  <c r="Y28" i="26"/>
  <c r="W40" i="26"/>
  <c r="Y40" i="26"/>
  <c r="Y43" i="26"/>
  <c r="W43" i="26"/>
  <c r="Y42" i="26"/>
  <c r="W42" i="26"/>
  <c r="Y44" i="26"/>
  <c r="W44" i="26"/>
  <c r="Y41" i="26"/>
  <c r="W41" i="26"/>
  <c r="Y45" i="26"/>
  <c r="W45" i="26"/>
  <c r="W32" i="26"/>
  <c r="Y32" i="26"/>
  <c r="W38" i="26"/>
  <c r="Y38" i="26"/>
  <c r="Y34" i="26"/>
  <c r="W34" i="26"/>
  <c r="W37" i="26"/>
  <c r="Y37" i="26"/>
  <c r="Y33" i="26"/>
  <c r="W33" i="26"/>
  <c r="W36" i="26"/>
  <c r="Y36" i="26"/>
  <c r="W39" i="26"/>
  <c r="V15" i="26"/>
  <c r="V69" i="26" s="1"/>
  <c r="Y31" i="26"/>
  <c r="W35" i="26"/>
  <c r="W46" i="26"/>
  <c r="W15" i="26" l="1"/>
  <c r="Y39" i="26"/>
  <c r="W31" i="26"/>
  <c r="Y35" i="26"/>
  <c r="Y15" i="26"/>
  <c r="Y46" i="26"/>
  <c r="W27" i="26"/>
  <c r="Y27" i="26" l="1"/>
  <c r="T10"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Tyler Hammer</author>
  </authors>
  <commentList>
    <comment ref="J12" authorId="0" shapeId="0" xr:uid="{00000000-0006-0000-0000-000001000000}">
      <text>
        <r>
          <rPr>
            <b/>
            <sz val="9"/>
            <color indexed="81"/>
            <rFont val="Tahoma"/>
            <family val="2"/>
          </rPr>
          <t>Tyler Hammer:</t>
        </r>
        <r>
          <rPr>
            <sz val="9"/>
            <color indexed="81"/>
            <rFont val="Tahoma"/>
            <family val="2"/>
          </rPr>
          <t xml:space="preserve">
This column will eventually be hidden from user</t>
        </r>
      </text>
    </comment>
    <comment ref="Q12" authorId="0" shapeId="0" xr:uid="{00000000-0006-0000-0000-000002000000}">
      <text>
        <r>
          <rPr>
            <b/>
            <sz val="9"/>
            <color indexed="81"/>
            <rFont val="Tahoma"/>
            <family val="2"/>
          </rPr>
          <t>Tyler Hammer:</t>
        </r>
        <r>
          <rPr>
            <sz val="9"/>
            <color indexed="81"/>
            <rFont val="Tahoma"/>
            <family val="2"/>
          </rPr>
          <t xml:space="preserve">
Old deemed savings value</t>
        </r>
      </text>
    </comment>
    <comment ref="Q48" authorId="0" shapeId="0" xr:uid="{00000000-0006-0000-0000-000003000000}">
      <text>
        <r>
          <rPr>
            <b/>
            <sz val="9"/>
            <color indexed="81"/>
            <rFont val="Tahoma"/>
            <family val="2"/>
          </rPr>
          <t>Tyler Hammer:</t>
        </r>
        <r>
          <rPr>
            <sz val="9"/>
            <color indexed="81"/>
            <rFont val="Tahoma"/>
            <family val="2"/>
          </rPr>
          <t xml:space="preserve">
Old deemed savings value</t>
        </r>
      </text>
    </comment>
    <comment ref="Q54" authorId="0" shapeId="0" xr:uid="{00000000-0006-0000-0000-000004000000}">
      <text>
        <r>
          <rPr>
            <b/>
            <sz val="9"/>
            <color indexed="81"/>
            <rFont val="Tahoma"/>
            <family val="2"/>
          </rPr>
          <t>Tyler Hammer:</t>
        </r>
        <r>
          <rPr>
            <sz val="9"/>
            <color indexed="81"/>
            <rFont val="Tahoma"/>
            <family val="2"/>
          </rPr>
          <t xml:space="preserve">
Old deemed savings value</t>
        </r>
      </text>
    </comment>
    <comment ref="Q63" authorId="0" shapeId="0" xr:uid="{00000000-0006-0000-0000-000005000000}">
      <text>
        <r>
          <rPr>
            <b/>
            <sz val="9"/>
            <color indexed="81"/>
            <rFont val="Tahoma"/>
            <family val="2"/>
          </rPr>
          <t>Tyler Hammer:</t>
        </r>
        <r>
          <rPr>
            <sz val="9"/>
            <color indexed="81"/>
            <rFont val="Tahoma"/>
            <family val="2"/>
          </rPr>
          <t xml:space="preserve">
Old deemed savings value</t>
        </r>
      </text>
    </comment>
    <comment ref="N64" authorId="0" shapeId="0" xr:uid="{00000000-0006-0000-0000-000006000000}">
      <text>
        <r>
          <rPr>
            <b/>
            <sz val="9"/>
            <color indexed="81"/>
            <rFont val="Tahoma"/>
            <family val="2"/>
          </rPr>
          <t>Tyler Hammer:</t>
        </r>
        <r>
          <rPr>
            <sz val="9"/>
            <color indexed="81"/>
            <rFont val="Tahoma"/>
            <family val="2"/>
          </rPr>
          <t xml:space="preserve">
BTU savings used to derive energy savings share attributed to kWh vs. therms for GHG factors</t>
        </r>
      </text>
    </comment>
    <comment ref="N65" authorId="0" shapeId="0" xr:uid="{00000000-0006-0000-0000-000007000000}">
      <text>
        <r>
          <rPr>
            <b/>
            <sz val="9"/>
            <color indexed="81"/>
            <rFont val="Tahoma"/>
            <family val="2"/>
          </rPr>
          <t>Tyler Hammer:</t>
        </r>
        <r>
          <rPr>
            <sz val="9"/>
            <color indexed="81"/>
            <rFont val="Tahoma"/>
            <family val="2"/>
          </rPr>
          <t xml:space="preserve">
BTU savings used to derive energy savings share attributed to kWh vs. therms for GHG factors</t>
        </r>
      </text>
    </comment>
    <comment ref="Q67" authorId="0" shapeId="0" xr:uid="{C7BC5D8C-5D6F-44D3-9404-9F5B2CD8C4C8}">
      <text>
        <r>
          <rPr>
            <b/>
            <sz val="9"/>
            <color indexed="81"/>
            <rFont val="Tahoma"/>
            <family val="2"/>
          </rPr>
          <t>Tyler Hammer:</t>
        </r>
        <r>
          <rPr>
            <sz val="9"/>
            <color indexed="81"/>
            <rFont val="Tahoma"/>
            <family val="2"/>
          </rPr>
          <t xml:space="preserve">
Old deemed savings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Tyler Hammer</author>
    <author>Zarske, Jim</author>
    <author>Padron, Luis</author>
  </authors>
  <commentList>
    <comment ref="B2" authorId="0" shapeId="0" xr:uid="{00000000-0006-0000-0100-000001000000}">
      <text>
        <r>
          <rPr>
            <b/>
            <sz val="9"/>
            <color indexed="81"/>
            <rFont val="Tahoma"/>
            <family val="2"/>
          </rPr>
          <t>Tyler Hammer:</t>
        </r>
        <r>
          <rPr>
            <sz val="9"/>
            <color indexed="81"/>
            <rFont val="Tahoma"/>
            <family val="2"/>
          </rPr>
          <t xml:space="preserve">
Dervived from Nexant's EFLH calculator that was asssembled and provided to COB/ES</t>
        </r>
      </text>
    </comment>
    <comment ref="C2" authorId="0" shapeId="0" xr:uid="{00000000-0006-0000-0100-000002000000}">
      <text>
        <r>
          <rPr>
            <b/>
            <sz val="9"/>
            <color indexed="81"/>
            <rFont val="Tahoma"/>
            <family val="2"/>
          </rPr>
          <t>Tyler Hammer:</t>
        </r>
        <r>
          <rPr>
            <sz val="9"/>
            <color indexed="81"/>
            <rFont val="Tahoma"/>
            <family val="2"/>
          </rPr>
          <t xml:space="preserve">
Dervived from Nexant's EFLH calculator  that was asssembled and provided to COB/ES</t>
        </r>
      </text>
    </comment>
    <comment ref="D2" authorId="0" shapeId="0" xr:uid="{00000000-0006-0000-0100-000003000000}">
      <text>
        <r>
          <rPr>
            <b/>
            <sz val="9"/>
            <color indexed="81"/>
            <rFont val="Tahoma"/>
            <family val="2"/>
          </rPr>
          <t>Tyler Hammer:</t>
        </r>
        <r>
          <rPr>
            <sz val="9"/>
            <color indexed="81"/>
            <rFont val="Tahoma"/>
            <family val="2"/>
          </rPr>
          <t xml:space="preserve">
Derived from Equest model based on operating hours based on a cooling and heating daytime/nighttime setpoints of 76/82 and 70/64, respectively</t>
        </r>
      </text>
    </comment>
    <comment ref="E3" authorId="1" shapeId="0" xr:uid="{00000000-0006-0000-0100-000004000000}">
      <text>
        <r>
          <rPr>
            <b/>
            <sz val="9"/>
            <color indexed="81"/>
            <rFont val="Tahoma"/>
            <family val="2"/>
          </rPr>
          <t>Zarske, Jim:</t>
        </r>
        <r>
          <rPr>
            <sz val="9"/>
            <color indexed="81"/>
            <rFont val="Tahoma"/>
            <family val="2"/>
          </rPr>
          <t xml:space="preserve">
6 am to 6 pm M-F; 8 am to 2 pm Sat; 52 w/y, assume</t>
        </r>
      </text>
    </comment>
    <comment ref="E4" authorId="1" shapeId="0" xr:uid="{00000000-0006-0000-0100-000005000000}">
      <text>
        <r>
          <rPr>
            <b/>
            <sz val="9"/>
            <color indexed="81"/>
            <rFont val="Tahoma"/>
            <family val="2"/>
          </rPr>
          <t>Zarske, Jim:</t>
        </r>
        <r>
          <rPr>
            <sz val="9"/>
            <color indexed="81"/>
            <rFont val="Tahoma"/>
            <family val="2"/>
          </rPr>
          <t xml:space="preserve">
Based on 8:00 AM to 11:00 PM Monday-Friday, Saturday 9:00 AM - 9:00 PM &amp; Sunday 9:00 AM - 6:30 PM</t>
        </r>
      </text>
    </comment>
    <comment ref="E5" authorId="1" shapeId="0" xr:uid="{00000000-0006-0000-0100-000006000000}">
      <text>
        <r>
          <rPr>
            <b/>
            <sz val="9"/>
            <color indexed="81"/>
            <rFont val="Tahoma"/>
            <family val="2"/>
          </rPr>
          <t>Zarske, Jim:</t>
        </r>
        <r>
          <rPr>
            <sz val="9"/>
            <color indexed="81"/>
            <rFont val="Tahoma"/>
            <family val="2"/>
          </rPr>
          <t xml:space="preserve">
9 am to 7 pm M-F; 9 am to 6 pm on Sat; 52 w/y, assume</t>
        </r>
      </text>
    </comment>
    <comment ref="E6" authorId="1" shapeId="0" xr:uid="{00000000-0006-0000-0100-000007000000}">
      <text>
        <r>
          <rPr>
            <b/>
            <sz val="9"/>
            <color indexed="81"/>
            <rFont val="Tahoma"/>
            <family val="2"/>
          </rPr>
          <t>Zarske, Jim:</t>
        </r>
        <r>
          <rPr>
            <sz val="9"/>
            <color indexed="81"/>
            <rFont val="Tahoma"/>
            <family val="2"/>
          </rPr>
          <t xml:space="preserve">
8 am to 9 pm, 7 d/w, 52 w/y</t>
        </r>
      </text>
    </comment>
    <comment ref="E7" authorId="1" shapeId="0" xr:uid="{00000000-0006-0000-0100-000008000000}">
      <text>
        <r>
          <rPr>
            <b/>
            <sz val="9"/>
            <color indexed="81"/>
            <rFont val="Tahoma"/>
            <family val="2"/>
          </rPr>
          <t>Zarske, Jim:</t>
        </r>
        <r>
          <rPr>
            <sz val="9"/>
            <color indexed="81"/>
            <rFont val="Tahoma"/>
            <family val="2"/>
          </rPr>
          <t xml:space="preserve">
9 am to 8:30 pm, 7 d/w, 52 w/y</t>
        </r>
      </text>
    </comment>
    <comment ref="E8" authorId="1" shapeId="0" xr:uid="{00000000-0006-0000-0100-000009000000}">
      <text>
        <r>
          <rPr>
            <b/>
            <sz val="9"/>
            <color indexed="81"/>
            <rFont val="Tahoma"/>
            <family val="2"/>
          </rPr>
          <t>Zarske, Jim:</t>
        </r>
        <r>
          <rPr>
            <sz val="9"/>
            <color indexed="81"/>
            <rFont val="Tahoma"/>
            <family val="2"/>
          </rPr>
          <t xml:space="preserve">
10:30 am to 6 pm, 7 d/w</t>
        </r>
      </text>
    </comment>
    <comment ref="E9" authorId="1" shapeId="0" xr:uid="{00000000-0006-0000-0100-00000A000000}">
      <text>
        <r>
          <rPr>
            <b/>
            <sz val="9"/>
            <color indexed="81"/>
            <rFont val="Tahoma"/>
            <family val="2"/>
          </rPr>
          <t>Zarske, Jim:</t>
        </r>
        <r>
          <rPr>
            <sz val="9"/>
            <color indexed="81"/>
            <rFont val="Tahoma"/>
            <family val="2"/>
          </rPr>
          <t xml:space="preserve">
7 am to 8 pm M-F</t>
        </r>
      </text>
    </comment>
    <comment ref="E10" authorId="1" shapeId="0" xr:uid="{00000000-0006-0000-0100-00000B000000}">
      <text>
        <r>
          <rPr>
            <b/>
            <sz val="9"/>
            <color indexed="81"/>
            <rFont val="Tahoma"/>
            <family val="2"/>
          </rPr>
          <t>Zarske, Jim:</t>
        </r>
        <r>
          <rPr>
            <sz val="9"/>
            <color indexed="81"/>
            <rFont val="Tahoma"/>
            <family val="2"/>
          </rPr>
          <t xml:space="preserve">
M-F, 7 am to 5 pm, Sep through May</t>
        </r>
      </text>
    </comment>
    <comment ref="E11" authorId="1" shapeId="0" xr:uid="{00000000-0006-0000-0100-00000C000000}">
      <text>
        <r>
          <rPr>
            <b/>
            <sz val="9"/>
            <color indexed="81"/>
            <rFont val="Tahoma"/>
            <family val="2"/>
          </rPr>
          <t>Zarske, Jim:</t>
        </r>
        <r>
          <rPr>
            <sz val="9"/>
            <color indexed="81"/>
            <rFont val="Tahoma"/>
            <family val="2"/>
          </rPr>
          <t xml:space="preserve">
6 am to 6 pm M-F; 8 am to 2 pm Sat; 52 w/y, assume</t>
        </r>
      </text>
    </comment>
    <comment ref="E12" authorId="1" shapeId="0" xr:uid="{00000000-0006-0000-0100-00000D000000}">
      <text>
        <r>
          <rPr>
            <b/>
            <sz val="9"/>
            <color indexed="81"/>
            <rFont val="Tahoma"/>
            <family val="2"/>
          </rPr>
          <t>Zarske, Jim:</t>
        </r>
        <r>
          <rPr>
            <sz val="9"/>
            <color indexed="81"/>
            <rFont val="Tahoma"/>
            <family val="2"/>
          </rPr>
          <t xml:space="preserve">
8 am to 5 pm M-F, 3 pm to 8 pm, Sat; 6 am to 12 pm Sun</t>
        </r>
      </text>
    </comment>
    <comment ref="E13" authorId="1" shapeId="0" xr:uid="{00000000-0006-0000-0100-00000E000000}">
      <text>
        <r>
          <rPr>
            <b/>
            <sz val="9"/>
            <color indexed="81"/>
            <rFont val="Tahoma"/>
            <family val="2"/>
          </rPr>
          <t>Zarske, Jim:</t>
        </r>
        <r>
          <rPr>
            <sz val="9"/>
            <color indexed="81"/>
            <rFont val="Tahoma"/>
            <family val="2"/>
          </rPr>
          <t xml:space="preserve">
5 am to 9 pm, 7 d/w</t>
        </r>
      </text>
    </comment>
    <comment ref="E14" authorId="1" shapeId="0" xr:uid="{00000000-0006-0000-0100-00000F000000}">
      <text>
        <r>
          <rPr>
            <b/>
            <sz val="9"/>
            <color indexed="81"/>
            <rFont val="Tahoma"/>
            <family val="2"/>
          </rPr>
          <t>Zarske, Jim:</t>
        </r>
        <r>
          <rPr>
            <sz val="9"/>
            <color indexed="81"/>
            <rFont val="Tahoma"/>
            <family val="2"/>
          </rPr>
          <t xml:space="preserve">
8 am to 5 pm, M-F</t>
        </r>
      </text>
    </comment>
    <comment ref="E15" authorId="1" shapeId="0" xr:uid="{00000000-0006-0000-0100-000010000000}">
      <text>
        <r>
          <rPr>
            <b/>
            <sz val="9"/>
            <color indexed="81"/>
            <rFont val="Tahoma"/>
            <family val="2"/>
          </rPr>
          <t>Zarske, Jim:</t>
        </r>
        <r>
          <rPr>
            <sz val="9"/>
            <color indexed="81"/>
            <rFont val="Tahoma"/>
            <family val="2"/>
          </rPr>
          <t xml:space="preserve">
6 am to 10 pm M-Sun</t>
        </r>
      </text>
    </comment>
    <comment ref="E16" authorId="1" shapeId="0" xr:uid="{00000000-0006-0000-0100-000011000000}">
      <text>
        <r>
          <rPr>
            <b/>
            <sz val="9"/>
            <color indexed="81"/>
            <rFont val="Tahoma"/>
            <family val="2"/>
          </rPr>
          <t>Zarske, Jim:</t>
        </r>
        <r>
          <rPr>
            <sz val="9"/>
            <color indexed="81"/>
            <rFont val="Tahoma"/>
            <family val="2"/>
          </rPr>
          <t xml:space="preserve">
7 am to 5 pm, M-F, 7 am to to 4 pm Sat</t>
        </r>
      </text>
    </comment>
    <comment ref="A17" authorId="0" shapeId="0" xr:uid="{00000000-0006-0000-0100-000012000000}">
      <text>
        <r>
          <rPr>
            <b/>
            <sz val="9"/>
            <color indexed="81"/>
            <rFont val="Tahoma"/>
            <family val="2"/>
          </rPr>
          <t>Tyler Hammer:</t>
        </r>
        <r>
          <rPr>
            <sz val="9"/>
            <color indexed="81"/>
            <rFont val="Tahoma"/>
            <family val="2"/>
          </rPr>
          <t xml:space="preserve">
Assumes 24/7 operating hours for central system equipment serving common areas</t>
        </r>
      </text>
    </comment>
    <comment ref="E17" authorId="1" shapeId="0" xr:uid="{00000000-0006-0000-0100-000013000000}">
      <text>
        <r>
          <rPr>
            <b/>
            <sz val="9"/>
            <color indexed="81"/>
            <rFont val="Tahoma"/>
            <family val="2"/>
          </rPr>
          <t>Zarske, Jim:</t>
        </r>
        <r>
          <rPr>
            <sz val="9"/>
            <color indexed="81"/>
            <rFont val="Tahoma"/>
            <family val="2"/>
          </rPr>
          <t xml:space="preserve">
6 am to 6:30 pm, 7 d/w</t>
        </r>
      </text>
    </comment>
    <comment ref="E24" authorId="2" shapeId="0" xr:uid="{00000000-0006-0000-0100-000014000000}">
      <text>
        <r>
          <rPr>
            <b/>
            <sz val="9"/>
            <color indexed="81"/>
            <rFont val="Tahoma"/>
            <family val="2"/>
          </rPr>
          <t>Padron, Luis:</t>
        </r>
        <r>
          <rPr>
            <sz val="9"/>
            <color indexed="81"/>
            <rFont val="Tahoma"/>
            <family val="2"/>
          </rPr>
          <t xml:space="preserve">
Please note, this SEER values will apply to RTU's, split systems and condensing units &lt;65,000 Btu/hr or &lt; 5.4 tons</t>
        </r>
      </text>
    </comment>
    <comment ref="E44" authorId="0" shapeId="0" xr:uid="{00000000-0006-0000-0100-000015000000}">
      <text>
        <r>
          <rPr>
            <b/>
            <sz val="9"/>
            <color indexed="81"/>
            <rFont val="Tahoma"/>
            <family val="2"/>
          </rPr>
          <t>Tyler Hammer:</t>
        </r>
        <r>
          <rPr>
            <sz val="9"/>
            <color indexed="81"/>
            <rFont val="Tahoma"/>
            <family val="2"/>
          </rPr>
          <t xml:space="preserve">
No reliable market data currently available to provide reasonable adjustment factors.  For now, this value set to 100%.</t>
        </r>
      </text>
    </comment>
    <comment ref="B79" authorId="0" shapeId="0" xr:uid="{00000000-0006-0000-0100-000016000000}">
      <text>
        <r>
          <rPr>
            <b/>
            <sz val="9"/>
            <color indexed="81"/>
            <rFont val="Tahoma"/>
            <family val="2"/>
          </rPr>
          <t>Tyler Hammer:</t>
        </r>
        <r>
          <rPr>
            <sz val="9"/>
            <color indexed="81"/>
            <rFont val="Tahoma"/>
            <family val="2"/>
          </rPr>
          <t xml:space="preserve">
Assumes programmable setback to…
Cooling: 84
Heating: 62
from a customer who occassionally sets back manual thermostat to…
Cooling: 79
Heating: 67
Baseline setpoints:
Cooling: 74
Heating: 72</t>
        </r>
      </text>
    </comment>
    <comment ref="D79" authorId="0" shapeId="0" xr:uid="{00000000-0006-0000-0100-000017000000}">
      <text>
        <r>
          <rPr>
            <b/>
            <sz val="9"/>
            <color indexed="81"/>
            <rFont val="Tahoma"/>
            <family val="2"/>
          </rPr>
          <t>Tyler Hammer:</t>
        </r>
        <r>
          <rPr>
            <sz val="9"/>
            <color indexed="81"/>
            <rFont val="Tahoma"/>
            <family val="2"/>
          </rPr>
          <t xml:space="preserve">
Assumes programmable setback to…
Cooling: 84
Heating: 62
from a customer who never changes manual thermostat setpoints:
Cooling: 74
Heating: 72</t>
        </r>
      </text>
    </comment>
    <comment ref="F79" authorId="0" shapeId="0" xr:uid="{00000000-0006-0000-0100-000018000000}">
      <text>
        <r>
          <rPr>
            <b/>
            <sz val="9"/>
            <color indexed="81"/>
            <rFont val="Tahoma"/>
            <family val="2"/>
          </rPr>
          <t>Tyler Hammer:</t>
        </r>
        <r>
          <rPr>
            <sz val="9"/>
            <color indexed="81"/>
            <rFont val="Tahoma"/>
            <family val="2"/>
          </rPr>
          <t xml:space="preserve">
Weighted average savings</t>
        </r>
      </text>
    </comment>
    <comment ref="A87" authorId="0" shapeId="0" xr:uid="{00000000-0006-0000-0100-000019000000}">
      <text>
        <r>
          <rPr>
            <b/>
            <sz val="9"/>
            <color indexed="81"/>
            <rFont val="Tahoma"/>
            <family val="2"/>
          </rPr>
          <t>Tyler Hammer:</t>
        </r>
        <r>
          <rPr>
            <sz val="9"/>
            <color indexed="81"/>
            <rFont val="Tahoma"/>
            <family val="2"/>
          </rPr>
          <t xml:space="preserve">
eQuest model findings for 15,000 square foot facility with operating hours of 8am to 7pm, M-F</t>
        </r>
      </text>
    </comment>
    <comment ref="A95" authorId="0" shapeId="0" xr:uid="{00000000-0006-0000-0100-00001A000000}">
      <text>
        <r>
          <rPr>
            <b/>
            <sz val="9"/>
            <color indexed="81"/>
            <rFont val="Tahoma"/>
            <family val="2"/>
          </rPr>
          <t>Tyler Hammer:</t>
        </r>
        <r>
          <rPr>
            <sz val="9"/>
            <color indexed="81"/>
            <rFont val="Tahoma"/>
            <family val="2"/>
          </rPr>
          <t xml:space="preserve">
Assumes 24/7 operating hours for central system equipment serving common areas</t>
        </r>
      </text>
    </comment>
    <comment ref="B98" authorId="2" shapeId="0" xr:uid="{00000000-0006-0000-0100-00001B000000}">
      <text>
        <r>
          <rPr>
            <b/>
            <sz val="9"/>
            <color indexed="81"/>
            <rFont val="Tahoma"/>
            <family val="2"/>
          </rPr>
          <t>Padron, Luis:</t>
        </r>
        <r>
          <rPr>
            <sz val="9"/>
            <color indexed="81"/>
            <rFont val="Tahoma"/>
            <family val="2"/>
          </rPr>
          <t xml:space="preserve">
Savings are based on warehouse run hours occupied hours for 15,000ft2 in Boulder with 30 ton of cooling. (EQuest Model) of 10,766 kWh being normalized per ton
Baseline based on RTU fixed fraction OA @ 10%. The ECM adds ASE with high limit cut off of 65 degrees.
The Economizer is the first stage of cooling. DX is second Stage. An integraded ASE was not modeled.
</t>
        </r>
      </text>
    </comment>
    <comment ref="A113" authorId="0" shapeId="0" xr:uid="{00000000-0006-0000-0100-00001C000000}">
      <text>
        <r>
          <rPr>
            <b/>
            <sz val="9"/>
            <color indexed="81"/>
            <rFont val="Tahoma"/>
            <family val="2"/>
          </rPr>
          <t>Tyler Hammer:</t>
        </r>
        <r>
          <rPr>
            <sz val="9"/>
            <color indexed="81"/>
            <rFont val="Tahoma"/>
            <family val="2"/>
          </rPr>
          <t xml:space="preserve">
Assumes 24/7 operating hours for central system equipment serving common areas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Tyler Hammer</author>
    <author>Mike Ting</author>
    <author>Lucas Scheidler</author>
  </authors>
  <commentList>
    <comment ref="D2" authorId="0" shapeId="0" xr:uid="{00000000-0006-0000-0200-000001000000}">
      <text>
        <r>
          <rPr>
            <b/>
            <sz val="9"/>
            <color indexed="81"/>
            <rFont val="Tahoma"/>
            <family val="2"/>
          </rPr>
          <t>Tyler Hammer:</t>
        </r>
        <r>
          <rPr>
            <sz val="9"/>
            <color indexed="81"/>
            <rFont val="Tahoma"/>
            <family val="2"/>
          </rPr>
          <t xml:space="preserve">
Non-condensing boilers usually have an AFUE between 80% - 88%</t>
        </r>
      </text>
    </comment>
    <comment ref="H2" authorId="0" shapeId="0" xr:uid="{00000000-0006-0000-0200-000002000000}">
      <text>
        <r>
          <rPr>
            <b/>
            <sz val="9"/>
            <color indexed="81"/>
            <rFont val="Tahoma"/>
            <family val="2"/>
          </rPr>
          <t>Tyler Hammer:</t>
        </r>
        <r>
          <rPr>
            <sz val="9"/>
            <color indexed="81"/>
            <rFont val="Tahoma"/>
            <family val="2"/>
          </rPr>
          <t xml:space="preserve">
Condensing boilers typically have an AFUE of at least 88%</t>
        </r>
      </text>
    </comment>
    <comment ref="R3" authorId="0" shapeId="0" xr:uid="{00000000-0006-0000-0200-000003000000}">
      <text>
        <r>
          <rPr>
            <b/>
            <sz val="9"/>
            <color indexed="81"/>
            <rFont val="Tahoma"/>
            <family val="2"/>
          </rPr>
          <t>Tyler Hammer:</t>
        </r>
        <r>
          <rPr>
            <sz val="9"/>
            <color indexed="81"/>
            <rFont val="Tahoma"/>
            <family val="2"/>
          </rPr>
          <t xml:space="preserve">
92% efficient boiler</t>
        </r>
      </text>
    </comment>
    <comment ref="S3" authorId="0" shapeId="0" xr:uid="{00000000-0006-0000-0200-000004000000}">
      <text>
        <r>
          <rPr>
            <b/>
            <sz val="9"/>
            <color indexed="81"/>
            <rFont val="Tahoma"/>
            <family val="2"/>
          </rPr>
          <t>Tyler Hammer:</t>
        </r>
        <r>
          <rPr>
            <sz val="9"/>
            <color indexed="81"/>
            <rFont val="Tahoma"/>
            <family val="2"/>
          </rPr>
          <t xml:space="preserve">
Based on user inputs</t>
        </r>
      </text>
    </comment>
    <comment ref="E15" authorId="0" shapeId="0" xr:uid="{00000000-0006-0000-0200-000005000000}">
      <text>
        <r>
          <rPr>
            <b/>
            <sz val="9"/>
            <color indexed="81"/>
            <rFont val="Tahoma"/>
            <family val="2"/>
          </rPr>
          <t>Tyler Hammer:</t>
        </r>
        <r>
          <rPr>
            <sz val="9"/>
            <color indexed="81"/>
            <rFont val="Tahoma"/>
            <family val="2"/>
          </rPr>
          <t xml:space="preserve">
per RSMeans</t>
        </r>
      </text>
    </comment>
    <comment ref="N15" authorId="0" shapeId="0" xr:uid="{00000000-0006-0000-0200-000006000000}">
      <text>
        <r>
          <rPr>
            <b/>
            <sz val="9"/>
            <color indexed="81"/>
            <rFont val="Tahoma"/>
            <family val="2"/>
          </rPr>
          <t>Tyler Hammer:</t>
        </r>
        <r>
          <rPr>
            <sz val="9"/>
            <color indexed="81"/>
            <rFont val="Tahoma"/>
            <family val="2"/>
          </rPr>
          <t xml:space="preserve">
92% efficient furnace</t>
        </r>
      </text>
    </comment>
    <comment ref="O15" authorId="0" shapeId="0" xr:uid="{00000000-0006-0000-0200-000007000000}">
      <text>
        <r>
          <rPr>
            <b/>
            <sz val="9"/>
            <color indexed="81"/>
            <rFont val="Tahoma"/>
            <family val="2"/>
          </rPr>
          <t>Tyler Hammer:</t>
        </r>
        <r>
          <rPr>
            <sz val="9"/>
            <color indexed="81"/>
            <rFont val="Tahoma"/>
            <family val="2"/>
          </rPr>
          <t xml:space="preserve">
based on user inputs</t>
        </r>
      </text>
    </comment>
    <comment ref="D30" authorId="0" shapeId="0" xr:uid="{00000000-0006-0000-0200-000008000000}">
      <text>
        <r>
          <rPr>
            <b/>
            <sz val="9"/>
            <color indexed="81"/>
            <rFont val="Tahoma"/>
            <family val="2"/>
          </rPr>
          <t>Tyler Hammer:</t>
        </r>
        <r>
          <rPr>
            <sz val="9"/>
            <color indexed="81"/>
            <rFont val="Tahoma"/>
            <family val="2"/>
          </rPr>
          <t xml:space="preserve">
$65 = Xcel rebate.  $79 = cost to customer after rebate.  $144 = incremental cost</t>
        </r>
      </text>
    </comment>
    <comment ref="O38" authorId="0" shapeId="0" xr:uid="{00000000-0006-0000-0200-000009000000}">
      <text>
        <r>
          <rPr>
            <b/>
            <sz val="9"/>
            <color indexed="81"/>
            <rFont val="Tahoma"/>
            <family val="2"/>
          </rPr>
          <t>Tyler Hammer:</t>
        </r>
        <r>
          <rPr>
            <sz val="9"/>
            <color indexed="81"/>
            <rFont val="Tahoma"/>
            <family val="2"/>
          </rPr>
          <t xml:space="preserve">
Based on user input</t>
        </r>
      </text>
    </comment>
    <comment ref="G50" authorId="0" shapeId="0" xr:uid="{00000000-0006-0000-0200-00000A000000}">
      <text>
        <r>
          <rPr>
            <b/>
            <sz val="9"/>
            <color indexed="81"/>
            <rFont val="Tahoma"/>
            <family val="2"/>
          </rPr>
          <t>Tyler Hammer:</t>
        </r>
        <r>
          <rPr>
            <sz val="9"/>
            <color indexed="81"/>
            <rFont val="Tahoma"/>
            <family val="2"/>
          </rPr>
          <t xml:space="preserve">
per Russ Chitwood</t>
        </r>
      </text>
    </comment>
    <comment ref="A52" authorId="0" shapeId="0" xr:uid="{00000000-0006-0000-0200-00000B000000}">
      <text>
        <r>
          <rPr>
            <b/>
            <sz val="9"/>
            <color indexed="81"/>
            <rFont val="Tahoma"/>
            <family val="2"/>
          </rPr>
          <t>Tyler Hammer:</t>
        </r>
        <r>
          <rPr>
            <sz val="9"/>
            <color indexed="81"/>
            <rFont val="Tahoma"/>
            <family val="2"/>
          </rPr>
          <t xml:space="preserve">
Not currently being used.  VFD rebate table is on the "lookup" tab</t>
        </r>
      </text>
    </comment>
    <comment ref="B73" authorId="1" shapeId="0" xr:uid="{00000000-0006-0000-0200-00000C000000}">
      <text>
        <r>
          <rPr>
            <b/>
            <sz val="9"/>
            <color indexed="81"/>
            <rFont val="Tahoma"/>
            <family val="2"/>
          </rPr>
          <t>Mike Ting:</t>
        </r>
        <r>
          <rPr>
            <sz val="9"/>
            <color indexed="81"/>
            <rFont val="Tahoma"/>
            <family val="2"/>
          </rPr>
          <t xml:space="preserve">
Appropriate cross-technology baseline currently undefined; need guidance from DEER team</t>
        </r>
      </text>
    </comment>
    <comment ref="A75" authorId="2" shapeId="0" xr:uid="{00000000-0006-0000-0200-00000D000000}">
      <text>
        <r>
          <rPr>
            <b/>
            <sz val="9"/>
            <color indexed="81"/>
            <rFont val="Tahoma"/>
            <family val="2"/>
          </rPr>
          <t>Lucas Scheidler:</t>
        </r>
        <r>
          <rPr>
            <sz val="9"/>
            <color indexed="81"/>
            <rFont val="Tahoma"/>
            <family val="2"/>
          </rPr>
          <t xml:space="preserve">
Workpapers specify 1,300 CFM is approximately equivalent to 1 cooling ton at 0.1" static pressure.  Title 20 requires performance metrics for DEC to be specified at 0.3" static pressure. On average, it was found that the difference between CFM delivered at 0.1" static pressure and 0.3" static pressure was a factor of 0.9 (CFM@0.1"x0.9=CFM@0.3")</t>
        </r>
      </text>
    </comment>
    <comment ref="A85" authorId="2" shapeId="0" xr:uid="{00000000-0006-0000-0200-00000E000000}">
      <text>
        <r>
          <rPr>
            <b/>
            <sz val="9"/>
            <color indexed="81"/>
            <rFont val="Tahoma"/>
            <family val="2"/>
          </rPr>
          <t>Lucas Scheidler:</t>
        </r>
        <r>
          <rPr>
            <sz val="9"/>
            <color indexed="81"/>
            <rFont val="Tahoma"/>
            <family val="2"/>
          </rPr>
          <t xml:space="preserve">
The cost dataset we obtained had very little variation in the cooling effectiveness parameter. The little variation that existed was 100% colinear with brand. As such, effectiveness was excluded from the model. All data points except 3 had a cooling effectiveness of 0.7 or 0.75.</t>
        </r>
      </text>
    </comment>
    <comment ref="A86" authorId="2" shapeId="0" xr:uid="{00000000-0006-0000-0200-00000F000000}">
      <text>
        <r>
          <rPr>
            <b/>
            <sz val="9"/>
            <color indexed="81"/>
            <rFont val="Tahoma"/>
            <family val="2"/>
          </rPr>
          <t>Lucas Scheidler:</t>
        </r>
        <r>
          <rPr>
            <sz val="9"/>
            <color indexed="81"/>
            <rFont val="Tahoma"/>
            <family val="2"/>
          </rPr>
          <t xml:space="preserve">
The cost dataset we obtained had very little variation in the cooling effectiveness parameter. The little variation that existed was 100% colinear with brand. As such, effectiveness was excluded from the model. All data points except 3 had a cooling effectiveness of 0.7 or 0.75.</t>
        </r>
      </text>
    </comment>
    <comment ref="H87" authorId="0" shapeId="0" xr:uid="{00000000-0006-0000-0200-000010000000}">
      <text>
        <r>
          <rPr>
            <b/>
            <sz val="9"/>
            <color indexed="81"/>
            <rFont val="Tahoma"/>
            <family val="2"/>
          </rPr>
          <t>Tyler Hammer:</t>
        </r>
        <r>
          <rPr>
            <sz val="9"/>
            <color indexed="81"/>
            <rFont val="Tahoma"/>
            <family val="2"/>
          </rPr>
          <t xml:space="preserve">
Recommend using rebate of 30% of full cost=$1/CFM.  If Boulder uses 100% of incremental cost over DX, then rebate increases to $2/CFM with minimal savings opportunity.</t>
        </r>
      </text>
    </comment>
  </commentList>
</comments>
</file>

<file path=xl/sharedStrings.xml><?xml version="1.0" encoding="utf-8"?>
<sst xmlns="http://schemas.openxmlformats.org/spreadsheetml/2006/main" count="994" uniqueCount="434">
  <si>
    <t>Measures</t>
  </si>
  <si>
    <t>Deemed Savings</t>
  </si>
  <si>
    <t>$/unit</t>
  </si>
  <si>
    <t>Air Side Economizers for all RTU's</t>
  </si>
  <si>
    <t>$/ton</t>
  </si>
  <si>
    <t>Heating</t>
  </si>
  <si>
    <t>Split Systems &lt;5.4 tons, 15 SEER</t>
  </si>
  <si>
    <t>kWh/Unit</t>
  </si>
  <si>
    <t xml:space="preserve">Air Conditioning </t>
  </si>
  <si>
    <t xml:space="preserve">Rooftop AC Units, 11.4 - 20 tons, 12.0 EER </t>
  </si>
  <si>
    <t xml:space="preserve">Rooftop AC Units, 5.5 - 11.3 tons, 12.0 EER </t>
  </si>
  <si>
    <t>Condensing Units 15 SEER</t>
  </si>
  <si>
    <t>Rebate Units</t>
  </si>
  <si>
    <t>Deemed Savings Units</t>
  </si>
  <si>
    <t>Rooftop AC Units, &lt;5.4 tons, 17.0 SEER</t>
  </si>
  <si>
    <t>Specifications</t>
  </si>
  <si>
    <t>Enter Expected Utility Rebates</t>
  </si>
  <si>
    <r>
      <t xml:space="preserve">Enter Total Project Costs 
</t>
    </r>
    <r>
      <rPr>
        <sz val="14"/>
        <color indexed="8"/>
        <rFont val="Calibri"/>
        <family val="2"/>
      </rPr>
      <t>(for items receiving rebates - including tax)</t>
    </r>
  </si>
  <si>
    <t>Tons</t>
  </si>
  <si>
    <t>Building Type</t>
  </si>
  <si>
    <t>EFLH</t>
  </si>
  <si>
    <t>Office</t>
  </si>
  <si>
    <t>Cooling EFLH</t>
  </si>
  <si>
    <t>Heating EFLH</t>
  </si>
  <si>
    <t>Large Retail</t>
  </si>
  <si>
    <t>Small Retail</t>
  </si>
  <si>
    <t>Grocery</t>
  </si>
  <si>
    <t>Restaurant</t>
  </si>
  <si>
    <t>Lodging</t>
  </si>
  <si>
    <t>Healthcare</t>
  </si>
  <si>
    <t>Education</t>
  </si>
  <si>
    <t>Public Service</t>
  </si>
  <si>
    <t>Churches</t>
  </si>
  <si>
    <t>Warehouse</t>
  </si>
  <si>
    <t>Other Commercial Buildings</t>
  </si>
  <si>
    <t>Heavy Industrial</t>
  </si>
  <si>
    <t>Light Industrial</t>
  </si>
  <si>
    <t>Diversity factors and operating hours based on an Xcel Energy study of lighting system operating hours for several facility types (Barakat &amp; Chamberlin 1994)</t>
  </si>
  <si>
    <t>Interactive Savings from LBNL-39795: Interactions Between Lighting and Space Conditioning Energy Use - Sezgen &amp; Koomey 4/98</t>
  </si>
  <si>
    <t>Equipment Age</t>
  </si>
  <si>
    <t>Pre 1980</t>
  </si>
  <si>
    <t>Boiler Efficiency</t>
  </si>
  <si>
    <t>Equipment</t>
  </si>
  <si>
    <t>Btu/Hr Upgrade:</t>
  </si>
  <si>
    <t>Btu/Hr Baseline:</t>
  </si>
  <si>
    <t>Btu/hr_Existing x EFFb/EFFh</t>
  </si>
  <si>
    <t>Btu/hr_new x EFFh/EFFb</t>
  </si>
  <si>
    <t>Boiler/Furnace:</t>
  </si>
  <si>
    <t>(Btu/hr_base - Btu/hr_new) x hrs/1,000,000</t>
  </si>
  <si>
    <t>Furnace Savings (Dth):</t>
  </si>
  <si>
    <t>New Boiler Savings (Dth):</t>
  </si>
  <si>
    <t>Alt x ((Btu/hr_new x EFFh/EFFb) - Btu/hr_new) x hrs/1,000,000</t>
  </si>
  <si>
    <t>Source: Xcel Energy CO DSM-2015-2016 Pg. 401</t>
  </si>
  <si>
    <t>Table: Hot Water Boiler Cost</t>
  </si>
  <si>
    <t>Boiler Nameplate Capacity</t>
  </si>
  <si>
    <t>Non-Condensing</t>
  </si>
  <si>
    <t>Condensing</t>
  </si>
  <si>
    <t>Baseline to High Efficient - Condensing</t>
  </si>
  <si>
    <t>175,000 Btu/hr</t>
  </si>
  <si>
    <t>500,000 Btu/hr</t>
  </si>
  <si>
    <t>1,000,000 Btu/hr</t>
  </si>
  <si>
    <t>2,000,000 Btu/hr</t>
  </si>
  <si>
    <t>4,000,000 Btu/hr</t>
  </si>
  <si>
    <t>6,000,000 Btu/hr</t>
  </si>
  <si>
    <t>8,000,000 Btu/hr</t>
  </si>
  <si>
    <t>Table: Commercial Furnace</t>
  </si>
  <si>
    <t>Btu Input</t>
  </si>
  <si>
    <t>Incremental Cost</t>
  </si>
  <si>
    <t>Gross Annual kWh Saved</t>
  </si>
  <si>
    <t>Gross kW Saved</t>
  </si>
  <si>
    <t>SEER</t>
  </si>
  <si>
    <t>EER</t>
  </si>
  <si>
    <t>Table: Deemed Baseline Efficiencies (IECC 2009)</t>
  </si>
  <si>
    <t>Incremental Cost per Ton ($/ton)</t>
  </si>
  <si>
    <t>Furnace Efficiency</t>
  </si>
  <si>
    <t>Efficiency %        (&lt; 300,000 Btu/h)</t>
  </si>
  <si>
    <t>Efficiency %        ( &gt;300,000 Btu/h)</t>
  </si>
  <si>
    <t>Efficiency % (All Sizes)</t>
  </si>
  <si>
    <t>Roof Top Units</t>
  </si>
  <si>
    <t>&lt;65,000 Btu/h</t>
  </si>
  <si>
    <t>Unit Size (Cooling Capacity)</t>
  </si>
  <si>
    <t>&gt;65,000 Btu/h and &lt;135,000 Btu/hr</t>
  </si>
  <si>
    <t>Minimum Performace (EER)</t>
  </si>
  <si>
    <t>Minimum Performace (SEER)</t>
  </si>
  <si>
    <t>&gt;135,000 Btu/h and &lt;240,000 Btu/hr</t>
  </si>
  <si>
    <t xml:space="preserve"> &lt;760,000 Btu/hr</t>
  </si>
  <si>
    <t xml:space="preserve"> &gt;760,000 Btu/hr</t>
  </si>
  <si>
    <t>&gt;240,000 Btu/hr and &lt;760,000 Btu/hr</t>
  </si>
  <si>
    <t>2001-2005</t>
  </si>
  <si>
    <t>1989-2000</t>
  </si>
  <si>
    <t>2006-2010</t>
  </si>
  <si>
    <t>2011 and after</t>
  </si>
  <si>
    <t>Sources: ASHRAE 90.1 (1989, 1999, 2007, 2010)</t>
  </si>
  <si>
    <t>Equipment Capacity Unit</t>
  </si>
  <si>
    <t>Calculated Savings</t>
  </si>
  <si>
    <t>Calculated Savings Unit</t>
  </si>
  <si>
    <t>kWh/unit</t>
  </si>
  <si>
    <t>tons</t>
  </si>
  <si>
    <t>Equipment Efficiency Unit</t>
  </si>
  <si>
    <t>EFF %</t>
  </si>
  <si>
    <t>Size x (1/EER_Standard - 1/EER_EFF</t>
  </si>
  <si>
    <t>&lt;5.4 tons</t>
  </si>
  <si>
    <t>Air Conditioning (RTU, Condensing Units, Split Systems):</t>
  </si>
  <si>
    <t>Economizer Savings (kWh/ton):</t>
  </si>
  <si>
    <t>n/a</t>
  </si>
  <si>
    <t>Unit</t>
  </si>
  <si>
    <t>kwh/unit</t>
  </si>
  <si>
    <t>dekatherms/ unit</t>
  </si>
  <si>
    <t>Economizer SEER Factor</t>
  </si>
  <si>
    <t>Business Name</t>
  </si>
  <si>
    <t>Contact Name</t>
  </si>
  <si>
    <t>Phone</t>
  </si>
  <si>
    <t>Email</t>
  </si>
  <si>
    <t>Rooftop AC Units, &lt;=5.4 tons, 17.0 SEER</t>
  </si>
  <si>
    <t>Split Systems &lt;=5.4 tons, 15 SEER</t>
  </si>
  <si>
    <r>
      <t xml:space="preserve">Address </t>
    </r>
    <r>
      <rPr>
        <sz val="12"/>
        <rFont val="Calibri"/>
        <family val="2"/>
      </rPr>
      <t>(Street / City / State / Zip Code)</t>
    </r>
  </si>
  <si>
    <t>Source: CO-DSM Plan 2015/2016 (Deemed Savings Technical Assumptions)</t>
  </si>
  <si>
    <t>Multifamily</t>
  </si>
  <si>
    <t>Avg</t>
  </si>
  <si>
    <t>Evap Cooler Algorithm</t>
  </si>
  <si>
    <t>High Efficient Non Condensing - Efficiency (EFFh)</t>
  </si>
  <si>
    <t>Baseline Eff. (EFFb)</t>
  </si>
  <si>
    <t>Baseline - Cost</t>
  </si>
  <si>
    <t>High Efficient Non Condensing - Cost</t>
  </si>
  <si>
    <t>High Efficient Condensing - Cost</t>
  </si>
  <si>
    <t>EER = 0.9 SEER</t>
  </si>
  <si>
    <t>3 ton cooling, 60 MBH Heating</t>
  </si>
  <si>
    <t>4 ton cooling, 95 MBH Heating</t>
  </si>
  <si>
    <t>5 ton cooling, 112 MBH Heating</t>
  </si>
  <si>
    <t>6 ton cooling, 140 MBH Heating</t>
  </si>
  <si>
    <t>7.5 ton cooling, 170 MBH Heating</t>
  </si>
  <si>
    <t>8.5 ton cooling, 170 MBH Heating</t>
  </si>
  <si>
    <t>10 ton cooling, 200 MBH Heating</t>
  </si>
  <si>
    <t>12.5 ton cooling, 230 MBH Heating</t>
  </si>
  <si>
    <t>15 ton cooling, 270 MBH Heating</t>
  </si>
  <si>
    <t>17.5 ton cooling, 330 MBH Heating</t>
  </si>
  <si>
    <t>20 ton cooling, 360 MBH Heating</t>
  </si>
  <si>
    <t>RS Means Green Building Cost Data</t>
  </si>
  <si>
    <t>Gross Annual kWh Savings per Unit VFD</t>
  </si>
  <si>
    <t>HP x LF_FanDrive x Conversion x (1/std_eff) x %_Savings_Drives x Refrigeration_Factor</t>
  </si>
  <si>
    <t>Gross Annual kW Savings per unit VFD</t>
  </si>
  <si>
    <t>HP x LF_FanDrive x Conversion x (1/std_eff) x Hrs x %_Savings_Drives x Refrigeration_Factor</t>
  </si>
  <si>
    <t>Hrs</t>
  </si>
  <si>
    <t>See (Table 2.1)</t>
  </si>
  <si>
    <t>LF_Fan Drive</t>
  </si>
  <si>
    <t>HP</t>
  </si>
  <si>
    <t>Customer Input</t>
  </si>
  <si>
    <t>Std_eff</t>
  </si>
  <si>
    <t>See (Table 2.2)</t>
  </si>
  <si>
    <t>%_Savings_Drives</t>
  </si>
  <si>
    <t>Refrigeration_Factor</t>
  </si>
  <si>
    <t>COP</t>
  </si>
  <si>
    <t>Conversion</t>
  </si>
  <si>
    <t>Variables</t>
  </si>
  <si>
    <t>13 SEER 3 Ton Energy</t>
  </si>
  <si>
    <t>EFLH Front Range:</t>
  </si>
  <si>
    <t>HP to kW</t>
  </si>
  <si>
    <t>Load Factor</t>
  </si>
  <si>
    <t>Motor Efficiency</t>
  </si>
  <si>
    <t>CF_AC</t>
  </si>
  <si>
    <t>TDLF</t>
  </si>
  <si>
    <t>NTG Tier 1</t>
  </si>
  <si>
    <t>NTG Tier 2</t>
  </si>
  <si>
    <t>VFD Size (HP)</t>
  </si>
  <si>
    <t>3 HP</t>
  </si>
  <si>
    <t>5 HP</t>
  </si>
  <si>
    <t>7.5 HP</t>
  </si>
  <si>
    <t>10 HP</t>
  </si>
  <si>
    <t>15 HP</t>
  </si>
  <si>
    <t>20 HP</t>
  </si>
  <si>
    <t>25 HP</t>
  </si>
  <si>
    <t>40 HP</t>
  </si>
  <si>
    <t>30 HP</t>
  </si>
  <si>
    <t>50 HP</t>
  </si>
  <si>
    <t>60 HP</t>
  </si>
  <si>
    <t>75 HP</t>
  </si>
  <si>
    <t>100 HP</t>
  </si>
  <si>
    <t>Degredation Efficiency:</t>
  </si>
  <si>
    <t>DX Degradation Equation:</t>
  </si>
  <si>
    <t>Boiler Degradation Equation:</t>
  </si>
  <si>
    <t>(Base AFUE)*(1-M)^age</t>
  </si>
  <si>
    <t>(Base Eff)*(1-M)^age</t>
  </si>
  <si>
    <t>Base AFUE: Typical Efficiency of Pre-Retrofit</t>
  </si>
  <si>
    <t>Base EFF: Pre-retrofit equipment</t>
  </si>
  <si>
    <t>Base AFUE</t>
  </si>
  <si>
    <t>Maintanence Factor</t>
  </si>
  <si>
    <t>Condensing Gas Furnace</t>
  </si>
  <si>
    <t>Gas Furnace, direct vent</t>
  </si>
  <si>
    <t>Gas Furnace, natural draft</t>
  </si>
  <si>
    <t>Gas hot water boiler, natural draft</t>
  </si>
  <si>
    <t>Condensing gas boiler</t>
  </si>
  <si>
    <t>Table 5: Space Heating Equipment</t>
  </si>
  <si>
    <t>See Table 5</t>
  </si>
  <si>
    <t>Original SEER/EER Value</t>
  </si>
  <si>
    <t>M: Maintanace Factor (DX)</t>
  </si>
  <si>
    <t>Programmable Thermostats</t>
  </si>
  <si>
    <t>80% Furnace</t>
  </si>
  <si>
    <t>Furnace Cost</t>
  </si>
  <si>
    <t>Capacity Units</t>
  </si>
  <si>
    <t>M: Maintanace Factor (Furnace/Boiler)</t>
  </si>
  <si>
    <t>Install Year</t>
  </si>
  <si>
    <t>Date Range</t>
  </si>
  <si>
    <t>1980-1988</t>
  </si>
  <si>
    <t xml:space="preserve">Existing Equipment Installed Date </t>
  </si>
  <si>
    <t>Existing Equipment Efficiency</t>
  </si>
  <si>
    <t>From "Building American Performance Analysis Procedures for Existing Homes". NREL. May 2006 pgs. 6-14</t>
  </si>
  <si>
    <t>http://www.nrel.gov/buildings/pdfs/38238.pdf</t>
  </si>
  <si>
    <t>Efficient RTU with Economizer?</t>
  </si>
  <si>
    <t>Existing Equipment Install Date Range</t>
  </si>
  <si>
    <t># of Units Being Rebated</t>
  </si>
  <si>
    <t>Is the Existing Unit Operable?</t>
  </si>
  <si>
    <t>HVAC Fan VFD</t>
  </si>
  <si>
    <t>Programmable Thermostat</t>
  </si>
  <si>
    <t>Fan Operating Hours</t>
  </si>
  <si>
    <t>Measure Type</t>
  </si>
  <si>
    <t>Motor Eff</t>
  </si>
  <si>
    <t>Table 2.2 to Table 2.4: NEMA Premium Effi (1200/1800/3600 RPM)</t>
  </si>
  <si>
    <t>1 HP 1200 RPM</t>
  </si>
  <si>
    <t>1.5 HP 1200 RPM</t>
  </si>
  <si>
    <t>2 HP 1200 RPM</t>
  </si>
  <si>
    <t>3 HP 1200 RPM</t>
  </si>
  <si>
    <t>5 HP 1200 RPM</t>
  </si>
  <si>
    <t>7.5 HP 1200 RPM</t>
  </si>
  <si>
    <t>10 HP 1200 RPM</t>
  </si>
  <si>
    <t>15 HP 1200 RPM</t>
  </si>
  <si>
    <t>20 HP 1200 RPM</t>
  </si>
  <si>
    <t>25 HP 1200 RPM</t>
  </si>
  <si>
    <t>30 HP 1200 RPM</t>
  </si>
  <si>
    <t>40 HP 1200 RPM</t>
  </si>
  <si>
    <t>50 HP 1200 RPM</t>
  </si>
  <si>
    <t>60 HP 1200 RPM</t>
  </si>
  <si>
    <t>75 HP 1200 RPM</t>
  </si>
  <si>
    <t>100 HP 1200 RPM</t>
  </si>
  <si>
    <t>1 HP 1800 RPM</t>
  </si>
  <si>
    <t>1.5 HP 1800 RPM</t>
  </si>
  <si>
    <t>2 HP 1800 RPM</t>
  </si>
  <si>
    <t>3 HP 1800 RPM</t>
  </si>
  <si>
    <t>5 HP 1800 RPM</t>
  </si>
  <si>
    <t>7.5 HP 1800 RPM</t>
  </si>
  <si>
    <t>10 HP 1800 RPM</t>
  </si>
  <si>
    <t>15 HP 1800 RPM</t>
  </si>
  <si>
    <t>20 HP 1800 RPM</t>
  </si>
  <si>
    <t>25 HP 1800 RPM</t>
  </si>
  <si>
    <t>30 HP 1800 RPM</t>
  </si>
  <si>
    <t>40 HP 1800 RPM</t>
  </si>
  <si>
    <t>50 HP 1800 RPM</t>
  </si>
  <si>
    <t>60 HP 1800 RPM</t>
  </si>
  <si>
    <t>75 HP 1800 RPM</t>
  </si>
  <si>
    <t>100 HP 1800 RPM</t>
  </si>
  <si>
    <t>1 HP 3600 RPM</t>
  </si>
  <si>
    <t>1.5 HP 36000 RPM</t>
  </si>
  <si>
    <t>2 HP 3600 RPM</t>
  </si>
  <si>
    <t>3 HP 3600 RPM</t>
  </si>
  <si>
    <t>5 HP 3600 RPM</t>
  </si>
  <si>
    <t>7.5 HP 3600 RPM</t>
  </si>
  <si>
    <t>10 HP 3600 RPM</t>
  </si>
  <si>
    <t>15 HP 3600 RPM</t>
  </si>
  <si>
    <t>20 HP 3600 RPM</t>
  </si>
  <si>
    <t>25 HP 3600 RPM</t>
  </si>
  <si>
    <t>30 HP 3600 RPM</t>
  </si>
  <si>
    <t>40 HP 3600 RPM</t>
  </si>
  <si>
    <t>50 HP 3600 RPM</t>
  </si>
  <si>
    <t>60 HP 3600 RPM</t>
  </si>
  <si>
    <t>75 HP 3600 RPM</t>
  </si>
  <si>
    <t>100 HP 3600 RPM</t>
  </si>
  <si>
    <t>HP / RPM</t>
  </si>
  <si>
    <t>=1+1/COP</t>
  </si>
  <si>
    <t>.5 - 25</t>
  </si>
  <si>
    <t>kW</t>
  </si>
  <si>
    <t>125 HP 1200 RPM</t>
  </si>
  <si>
    <t>150 HP 1200 RPM</t>
  </si>
  <si>
    <t>200 HP 1200 RPM</t>
  </si>
  <si>
    <t>125 HP 1800 RPM</t>
  </si>
  <si>
    <t>150 HP 1800 RPM</t>
  </si>
  <si>
    <t>200 HP 1800 RPM</t>
  </si>
  <si>
    <t>125 HP 3600 RPM</t>
  </si>
  <si>
    <t>150 HP 3600 RPM</t>
  </si>
  <si>
    <t>200 HP 3600 RPM</t>
  </si>
  <si>
    <t>Measure</t>
  </si>
  <si>
    <t>varies</t>
  </si>
  <si>
    <t>Size x EFLH x (1/SEER_standard - 1/SEER_Eff)</t>
  </si>
  <si>
    <t>=Size x EFLH x (1/SEER_standard)</t>
  </si>
  <si>
    <t>Energy Use of Existing Unit</t>
  </si>
  <si>
    <t>Energy Use of Evap Cooler</t>
  </si>
  <si>
    <t>=Motor HP x 0.746 x Load Factor / Mottor Eff x OpHr</t>
  </si>
  <si>
    <t>kWh/1600 cfm</t>
  </si>
  <si>
    <t>Average</t>
  </si>
  <si>
    <t>Xcel Rebate</t>
  </si>
  <si>
    <t>http://www.xcelenergy.com/Energy_Solutions/Business_Solutions/Rebates_&amp;_Energy_Savings/Heating_Efficiency</t>
  </si>
  <si>
    <t>Average Cost</t>
  </si>
  <si>
    <t>Full Cost ($)</t>
  </si>
  <si>
    <t xml:space="preserve">RTU Cost 13 SEER Baseline </t>
  </si>
  <si>
    <t>RTU 15 SEER Full Cost</t>
  </si>
  <si>
    <t>Xcel Rebate ($/ton)</t>
  </si>
  <si>
    <t>Bouler Rebate ($/ton) - Replace on Burnout</t>
  </si>
  <si>
    <t>Bouler Rebate ($/ton) - Early Replacement</t>
  </si>
  <si>
    <t>RTU 15 SEER Full Cost ($/ton)</t>
  </si>
  <si>
    <t>Boulder Rebate ($/unit) - Replace on Burnout</t>
  </si>
  <si>
    <t>Boulder Rebate ($/unit) - Early Replacement</t>
  </si>
  <si>
    <t>Bouler Rebate - Early Replacement</t>
  </si>
  <si>
    <t>Bouler Rebate  - Replace on Burnout</t>
  </si>
  <si>
    <t>http://www.xcelenergy.com/staticfiles/xe/PDF/Marketing/CO-Bus-Motors-Drive-Efficiency-Rebate-Application-2015.pdf</t>
  </si>
  <si>
    <t>Full Cost (92% Furnace)</t>
  </si>
  <si>
    <t>http://www.homedepot.com/p/Honeywell-Wi-Fi-Programmable-Touchscreen-Thermostat-Free-App-RTH8580WF/203356032</t>
  </si>
  <si>
    <t>http://www.homedepot.com/b/Heating-Venting-Cooling-Thermostats-Non-Programmable-Thermostats/N-5yc1vZc4lt</t>
  </si>
  <si>
    <t>Non-programmable Thermostat</t>
  </si>
  <si>
    <t xml:space="preserve">Incremental Cost  </t>
  </si>
  <si>
    <t>Boulder Rebate $/unit</t>
  </si>
  <si>
    <t>For SCE measures, evap coolers are add-on measures to existing DX systems</t>
  </si>
  <si>
    <t>2,340 CFM, 0.85 media saturation effectiveness (~2 ton equivalent)</t>
  </si>
  <si>
    <t>3,510 CFM, 0.87 media saturation effectiveness (~3 ton equivalent)</t>
  </si>
  <si>
    <t>5,850 CFM, 0.9 media saturation effectiveness (~5 ton equivalent)</t>
  </si>
  <si>
    <t>11,700 CFM, 0.9 media saturation effectiveness (~10 ton equivalent)</t>
  </si>
  <si>
    <t>17,550 CFM, 0.9 media saturation effectiveness (~15 ton equivalent)</t>
  </si>
  <si>
    <t>T24 minimum: 13 SEER(11.09 EER) Split System Air Conditioner (for PG&amp;E ROB measures) assumed 2 ton</t>
  </si>
  <si>
    <t>From 2014 CA Measure Cost Study, Itron</t>
  </si>
  <si>
    <t>Full Cost ($/unit)</t>
  </si>
  <si>
    <t>Direct Evaporative Cooler</t>
  </si>
  <si>
    <t>Absensce of indirect evaporative cooling on T24-compliant HVAC system</t>
  </si>
  <si>
    <t>indirect evap cooling for make-up air only, 65% effectiveness assumed 3,000 cfm, no gas heat</t>
  </si>
  <si>
    <t>indirect evap cooling for make-up air only, 65% effectiveness assumed 45,000 cfm, no gas heat</t>
  </si>
  <si>
    <t>Indirect Evaporative Cooler</t>
  </si>
  <si>
    <t>Cost/CFM</t>
  </si>
  <si>
    <t>Boulder Rebate</t>
  </si>
  <si>
    <t>$/cfm</t>
  </si>
  <si>
    <t xml:space="preserve">• Rebate offered for elgible programmable thermostats replacing manual thermostats only.
</t>
  </si>
  <si>
    <t>(for assumed average EER value of 11.2)</t>
  </si>
  <si>
    <t>Building Type Lookup values</t>
  </si>
  <si>
    <t>Source: Nexant eQuest Model runs</t>
  </si>
  <si>
    <t xml:space="preserve">VFDs </t>
  </si>
  <si>
    <t>Savings Algorithms:</t>
  </si>
  <si>
    <t>Assummed Efficiencies Lookup</t>
  </si>
  <si>
    <t>Economizers</t>
  </si>
  <si>
    <t xml:space="preserve">DX Equipment </t>
  </si>
  <si>
    <t>VFD HVAC Fans</t>
  </si>
  <si>
    <t>Evaporative Coolers</t>
  </si>
  <si>
    <t>kWh/SF Savings</t>
  </si>
  <si>
    <t>Therm/SF Savings</t>
  </si>
  <si>
    <t>Savings over Occassional Manual Thermostat Setback</t>
  </si>
  <si>
    <t>Savings over No Manual Thermostat Setback</t>
  </si>
  <si>
    <t>Weighted Average Savings</t>
  </si>
  <si>
    <t>Conditioned Square Feet</t>
  </si>
  <si>
    <t>Motor HP</t>
  </si>
  <si>
    <t>Evap Cooler Motor HP</t>
  </si>
  <si>
    <t>Base DX Capacity (tons)</t>
  </si>
  <si>
    <t>Evap Cooler Energy</t>
  </si>
  <si>
    <t>Evap Cooler </t>
  </si>
  <si>
    <t>Equiv Tons Clg</t>
  </si>
  <si>
    <t>CFM</t>
  </si>
  <si>
    <t>y=0.3109x-0.2055</t>
  </si>
  <si>
    <t>kWh/million btu</t>
  </si>
  <si>
    <t>$/metric ton</t>
  </si>
  <si>
    <t>Greenhouse Gas Energy Conversion</t>
  </si>
  <si>
    <t>therm to ton of GHG</t>
  </si>
  <si>
    <t>kWh to ton of GHG</t>
  </si>
  <si>
    <t>Base DX Efficiency</t>
  </si>
  <si>
    <t>per ton</t>
  </si>
  <si>
    <t>DX Cost ($/CFM)</t>
  </si>
  <si>
    <t>DX Cost ($/ton)</t>
  </si>
  <si>
    <t>RTU 13 SEER Full Cost ($/ton)</t>
  </si>
  <si>
    <t>DX Units</t>
  </si>
  <si>
    <t>CFM Equivalent</t>
  </si>
  <si>
    <t>Xcel Rebate/CFM</t>
  </si>
  <si>
    <t>Min. Efficiency Savings (dekatherms)</t>
  </si>
  <si>
    <t>Actual Efficiency Savings (dekatherms)</t>
  </si>
  <si>
    <t>$/GHG Saved (Xcel + ES)</t>
  </si>
  <si>
    <t>Bonus Rebate ($/unit)</t>
  </si>
  <si>
    <t>Min. Efficiency Savings (kWh)</t>
  </si>
  <si>
    <t>Actual Efficiency Savings (kWh)</t>
  </si>
  <si>
    <t>Bonus Rebate ($/ton)</t>
  </si>
  <si>
    <r>
      <t xml:space="preserve">$/ ton GHG-saved </t>
    </r>
    <r>
      <rPr>
        <b/>
        <sz val="11"/>
        <rFont val="Arial"/>
        <family val="2"/>
      </rPr>
      <t>(ES+Xcel Rebate)</t>
    </r>
    <r>
      <rPr>
        <b/>
        <sz val="14"/>
        <rFont val="Arial"/>
        <family val="2"/>
      </rPr>
      <t xml:space="preserve"> </t>
    </r>
  </si>
  <si>
    <t>EnergySmart Operating Hours</t>
  </si>
  <si>
    <t>• Rebates for new equipment replacing currently operating &amp; inoperable equipment 
• Furnace must be less than 225 million Btuh 
• Furnaces must meet minimum efficiency of 92% AFUE 
• Equipment must use natural-gas fuel</t>
  </si>
  <si>
    <t>• Equipment must be permanently installed 
• Equipment must be indirect, hybrid, or two-stage evaporative cooling unit replacing DX cooling equipment.
• Portable coolers or systems with vapor compression backup are not eligible 
• A minimum Media Saturation Effectiveness of 85% is required 
• Units must be installed with a remote thermostat and a periodic purge water control 
• Only conditioned CFM qualifies for rebate</t>
  </si>
  <si>
    <t>kBTU</t>
  </si>
  <si>
    <t>Natural Gas Furnace &lt;=225 kBTU, minimum 92% AFUE</t>
  </si>
  <si>
    <t>$/kBTU</t>
  </si>
  <si>
    <t>Incremental ($/kbtu)</t>
  </si>
  <si>
    <t>Xcel Rebate ($/kbtu)</t>
  </si>
  <si>
    <t>High Efficient Condensing - Efficiency Cost/kbtu</t>
  </si>
  <si>
    <t>Boulder Rebate ($/kbtu) - Replace on Burnout</t>
  </si>
  <si>
    <t>Boulder Rebate ($/kbtu) - Early Replacement</t>
  </si>
  <si>
    <t>Incentive Rate</t>
  </si>
  <si>
    <t>Boulder Rebate: Burnout</t>
  </si>
  <si>
    <t>Boulder Rebate: Early replacement</t>
  </si>
  <si>
    <t>Bonus Rebate Scaling Factor</t>
  </si>
  <si>
    <t>Bonus Rebate ($/kbtu)</t>
  </si>
  <si>
    <t>Boiler, minimum 92% AFUE</t>
  </si>
  <si>
    <t>• Condensing hot water boilers for space heating and domestic water only
• Rebates for new equipment replacing currently operating &amp; inoperable equipment 
• Equipment must use natural-gas fuel 
• Boilers must meet minimum efficiency of 92% AFUE 
• Back-up equipment not eligible for rebates 
• Customer must provide CO State inspection report with application</t>
  </si>
  <si>
    <r>
      <t xml:space="preserve">*Estimated Rebate Total
</t>
    </r>
    <r>
      <rPr>
        <b/>
        <sz val="10"/>
        <rFont val="Arial"/>
        <family val="2"/>
      </rPr>
      <t>($5,000 cap per parcel for HVAC projects)</t>
    </r>
  </si>
  <si>
    <t>RTU Capacity</t>
  </si>
  <si>
    <t xml:space="preserve">• Rebates will be offered for new equipment only 
• Motor replacement of currently operating equipment 
• Rebates available for motors and VFDs between 1 and 200 HP 
• Back-up equipment not eligible for rebates 
• Rebates are eligible for HVAC fan applications 
• Customers must scrap the previous motor themselves or have it scrapped by their installer. By signing the application, customers are acknowledging that the motor has been scrapped. </t>
  </si>
  <si>
    <t>Exisitng RTU Capacity</t>
  </si>
  <si>
    <t>Evaporative coolers</t>
  </si>
  <si>
    <t>/unit</t>
  </si>
  <si>
    <t>• Rebates for new equipment replacing currently operating &amp; inoperable equipment 
• Furnace must be less than 225 kBtuh 
• Furnaces must meet minimum efficiency of 92% AFUE 
• Equipment must use natural-gas fuel</t>
  </si>
  <si>
    <r>
      <rPr>
        <b/>
        <sz val="18"/>
        <color indexed="8"/>
        <rFont val="Calibri"/>
        <family val="2"/>
      </rPr>
      <t xml:space="preserve"> Estimated PACE Rebate Amount</t>
    </r>
    <r>
      <rPr>
        <b/>
        <sz val="14"/>
        <color indexed="8"/>
        <rFont val="Calibri"/>
        <family val="2"/>
      </rPr>
      <t xml:space="preserve"> </t>
    </r>
  </si>
  <si>
    <t>PACE Rebate Limit 
(50% of Project Costs minus Utility Rebates)</t>
  </si>
  <si>
    <t>PACE Rebate</t>
  </si>
  <si>
    <t>PACE Reward</t>
  </si>
  <si>
    <t xml:space="preserve">$/ ton GHG-saved (PACE Rebate) </t>
  </si>
  <si>
    <t>* This tool is for estimating purposes only and does not serve as a guarantee of a rebate or of final rebate amounts. Rebates will be issued on a first-come, first-served basis until all funding committed. Rebates are contingent on applicants and equipment meeting eligibility requirements. Visit www.PACEYES.com for full terms and conditions.</t>
  </si>
  <si>
    <r>
      <t xml:space="preserve">• Economizer shall provide first stage cooling. 
• Mechanical cooling will start at second stage. 
• Economizer control shall include an outside air temperature sensor. 
• Replaced equipment must have a fixed fraction outside air intake of at least 5%.
• Any size air-handling unit will qualify. 
• Installing contractor shall advise owner that yearly preventative 
  maintenance is recommended to ensure proper function over time.
</t>
    </r>
    <r>
      <rPr>
        <b/>
        <sz val="10"/>
        <color rgb="FFFF0000"/>
        <rFont val="Arial"/>
        <family val="2"/>
      </rPr>
      <t>• This line is intended for economizers added to exisitng units. DO NOT
  include economizers here that are integral to new AC units recorded above.</t>
    </r>
  </si>
  <si>
    <t>&lt;= 5.4 Tons SEER</t>
  </si>
  <si>
    <t>&gt; 5.4 Tons SEER</t>
  </si>
  <si>
    <t>2022 Rebate Amounts</t>
  </si>
  <si>
    <t>HRV &amp; ERV</t>
  </si>
  <si>
    <t>Equipment Type</t>
  </si>
  <si>
    <t>Required by Code</t>
  </si>
  <si>
    <t>Replacing an Exisiting Unit?</t>
  </si>
  <si>
    <t>HRV incentives - Source: Enbridge 2022</t>
  </si>
  <si>
    <t>Rebate/CFM</t>
  </si>
  <si>
    <t>Rebate/Tom</t>
  </si>
  <si>
    <t>No existing HRV and not required by code: Min sensible heat recovery effectiveness</t>
  </si>
  <si>
    <t>Improved effectiveness of existing HRV: Min sensible heat recovery effectiveness</t>
  </si>
  <si>
    <t>ERV incentives</t>
  </si>
  <si>
    <t>No</t>
  </si>
  <si>
    <t>% Sensible Heat Recovery Effectiveness</t>
  </si>
  <si>
    <t>$/CFM</t>
  </si>
  <si>
    <t>Heat Recovery Ventilator or
Energy Recovery Ventilator</t>
  </si>
  <si>
    <t>New Equipment Capacity</t>
  </si>
  <si>
    <t>therms/unit</t>
  </si>
  <si>
    <t>Direct Evaporative Pre-Cooling</t>
  </si>
  <si>
    <t xml:space="preserve">• For air cooled packaged rooftop or matched split system condensers only.
• Units must have a performance efficiency of at least 75% (dry bulb temperature reduction 
  achieved divided by the wet bulb depression) provided by the manufacturer.
• If sump is used, must have periodic purge control.
• Must have enthalpy controls to control pre-cooler operation.
• Water supply must have chemical or mechanical water treatment. </t>
  </si>
  <si>
    <t>kWh/ton</t>
  </si>
  <si>
    <t>• Minimum sensible effectiveness of 55 percent at 32 F for spaces with no ERV/HRV and where not required by code 
• Minimum sensible effectiveness of 65 percent at 32 F for spaces where ERV/HRV is required by code or with existing HRV/ERV</t>
  </si>
  <si>
    <t>Air Side Economizer for new and existing equipment</t>
  </si>
  <si>
    <t>• Economizer shall provide first stage cooling. 
• Mechanical cooling will start at second stage. 
• Economizer control shall include an outside air temperature sensor. 
• Replaced equipment must have a fixed fraction outside air intake of at least 5%.
• Any size air-handling unit will qualify. 
• Installing contractor shall advise owner that yearly preventative 
  maintenance is recommended to ensure proper function over time.
• Economizers added to new or exisitng units qualify but to replace existing functional economizers on the same piece of equipment.</t>
  </si>
  <si>
    <t xml:space="preserve">Air Side Economizer </t>
  </si>
  <si>
    <t>Efficient Equipment  SEER/IEER</t>
  </si>
  <si>
    <t xml:space="preserve">• Rebates for new equipment replacing currently operating &amp; inoperable equipment 
• Equipment must be currently rated at AHRI standards. 
• Equipment must use a minimum ozone-depleting refrigerant such as R-410
• Equipment must be 20 tons or less 
• Equipment less than or equal to 5.4 tons must be minimum 12.2 EER and 15.0 SEER 
• Equipment between 5.5 - 20 tons must be minimum 12.0 EER and 13 IEER
• Refer to Consortium of Energy Efficiency for listing of Tier 2 equipment 
   (http://www.cee1.org/com/hecac/hecac-tiers.pdf)
• Condensing unit and coil must both be newly installed to receive a rebate. 
• Efficiencies will be based on the condensing unit and coil combination rated by AHRI. </t>
  </si>
  <si>
    <t>Rooftop AC Units &amp; Split Systems 
&lt;=5.4 tons: 12.2 EER &amp; 15-18 SEER</t>
  </si>
  <si>
    <t>Rooftop AC Units &amp; Split Systems 
5.5 tons to 20 tons: 12 EER &amp; 13-18 IEER</t>
  </si>
  <si>
    <r>
      <rPr>
        <b/>
        <sz val="48"/>
        <rFont val="Arial"/>
        <family val="2"/>
      </rPr>
      <t>HVAC 
Rebate Estimator</t>
    </r>
    <r>
      <rPr>
        <sz val="18"/>
        <rFont val="Arial"/>
        <family val="2"/>
      </rPr>
      <t xml:space="preserve">
Last Revised 1/27/2022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</si>
</sst>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0.0"/>
    <numFmt numFmtId="168" formatCode="_(* #,##0.0_);_(* \(#,##0.0\);_(* &quot;-&quot;??_);_(@_)"/>
    <numFmt numFmtId="169" formatCode="0.000"/>
    <numFmt numFmtId="170" formatCode="0.0%"/>
    <numFmt numFmtId="171" formatCode="&quot;$&quot;#,##0.0_);[Red]\(&quot;$&quot;#,##0.0\)"/>
    <numFmt numFmtId="172" formatCode="&quot;$&quot;#,##0"/>
    <numFmt numFmtId="173" formatCode="0.0000"/>
  </numFmts>
  <fonts count="60" x14ac:knownFonts="1">
    <font>
      <sz val="10"/>
      <name val="Arial"/>
    </font>
    <font>
      <sz val="10"/>
      <name val="Arial"/>
      <family val="2"/>
    </font>
    <font>
      <sz val="10"/>
      <name val="Arial"/>
      <family val="2"/>
    </font>
    <font>
      <b/>
      <sz val="10"/>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sz val="10"/>
      <name val="Verdana"/>
      <family val="2"/>
    </font>
    <font>
      <b/>
      <sz val="18"/>
      <color indexed="62"/>
      <name val="Cambria"/>
      <family val="2"/>
    </font>
    <font>
      <sz val="10"/>
      <name val="Arial"/>
      <family val="2"/>
    </font>
    <font>
      <b/>
      <sz val="12"/>
      <name val="Arial"/>
      <family val="2"/>
    </font>
    <font>
      <b/>
      <sz val="36"/>
      <name val="Arial"/>
      <family val="2"/>
    </font>
    <font>
      <b/>
      <sz val="16"/>
      <name val="Arial"/>
      <family val="2"/>
    </font>
    <font>
      <b/>
      <i/>
      <sz val="10"/>
      <name val="Arial"/>
      <family val="2"/>
    </font>
    <font>
      <b/>
      <sz val="18"/>
      <color indexed="8"/>
      <name val="Calibri"/>
      <family val="2"/>
    </font>
    <font>
      <b/>
      <sz val="14"/>
      <color indexed="8"/>
      <name val="Calibri"/>
      <family val="2"/>
    </font>
    <font>
      <sz val="14"/>
      <color indexed="8"/>
      <name val="Calibri"/>
      <family val="2"/>
    </font>
    <font>
      <sz val="16"/>
      <name val="Arial"/>
      <family val="2"/>
    </font>
    <font>
      <b/>
      <sz val="16"/>
      <name val="Calibri"/>
      <family val="2"/>
    </font>
    <font>
      <b/>
      <sz val="14"/>
      <name val="Arial"/>
      <family val="2"/>
    </font>
    <font>
      <sz val="12"/>
      <name val="Times New Roman"/>
      <family val="1"/>
    </font>
    <font>
      <b/>
      <sz val="9"/>
      <color indexed="81"/>
      <name val="Tahoma"/>
      <family val="2"/>
    </font>
    <font>
      <sz val="9"/>
      <color indexed="81"/>
      <name val="Tahoma"/>
      <family val="2"/>
    </font>
    <font>
      <sz val="11"/>
      <name val="Arial"/>
      <family val="2"/>
    </font>
    <font>
      <b/>
      <i/>
      <sz val="10"/>
      <color theme="1"/>
      <name val="Arial"/>
      <family val="2"/>
    </font>
    <font>
      <sz val="14"/>
      <name val="Calibri"/>
      <family val="2"/>
      <scheme val="minor"/>
    </font>
    <font>
      <b/>
      <sz val="36"/>
      <color theme="1"/>
      <name val="Calibri"/>
      <family val="2"/>
      <scheme val="minor"/>
    </font>
    <font>
      <sz val="14"/>
      <color theme="1"/>
      <name val="Calibri"/>
      <family val="2"/>
      <scheme val="minor"/>
    </font>
    <font>
      <b/>
      <sz val="14"/>
      <name val="Calibri"/>
      <family val="2"/>
      <scheme val="minor"/>
    </font>
    <font>
      <b/>
      <sz val="18"/>
      <color theme="1"/>
      <name val="Calibri"/>
      <family val="2"/>
      <scheme val="minor"/>
    </font>
    <font>
      <b/>
      <sz val="16"/>
      <color theme="1"/>
      <name val="Calibri"/>
      <family val="2"/>
      <scheme val="minor"/>
    </font>
    <font>
      <b/>
      <sz val="10"/>
      <color theme="1"/>
      <name val="Arial"/>
      <family val="2"/>
    </font>
    <font>
      <b/>
      <sz val="11"/>
      <name val="Arial"/>
      <family val="2"/>
    </font>
    <font>
      <b/>
      <sz val="12"/>
      <color theme="1"/>
      <name val="Arial"/>
      <family val="2"/>
    </font>
    <font>
      <b/>
      <i/>
      <sz val="12"/>
      <color theme="1"/>
      <name val="Arial"/>
      <family val="2"/>
    </font>
    <font>
      <u/>
      <sz val="10"/>
      <color theme="10"/>
      <name val="Arial"/>
      <family val="2"/>
    </font>
    <font>
      <sz val="12"/>
      <name val="Calibri"/>
      <family val="2"/>
    </font>
    <font>
      <b/>
      <u/>
      <sz val="10"/>
      <name val="Arial"/>
      <family val="2"/>
    </font>
    <font>
      <sz val="10"/>
      <name val="Arial"/>
      <family val="2"/>
    </font>
    <font>
      <sz val="11"/>
      <color rgb="FF000000"/>
      <name val="Calibri"/>
      <family val="2"/>
    </font>
    <font>
      <sz val="18"/>
      <name val="Arial"/>
      <family val="2"/>
    </font>
    <font>
      <sz val="24"/>
      <name val="Arial"/>
      <family val="2"/>
    </font>
    <font>
      <b/>
      <sz val="48"/>
      <name val="Arial"/>
      <family val="2"/>
    </font>
    <font>
      <b/>
      <sz val="10"/>
      <color rgb="FFFF0000"/>
      <name val="Arial"/>
      <family val="2"/>
    </font>
  </fonts>
  <fills count="38">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41"/>
      </patternFill>
    </fill>
    <fill>
      <patternFill patternType="solid">
        <fgColor indexed="44"/>
      </patternFill>
    </fill>
    <fill>
      <patternFill patternType="solid">
        <fgColor indexed="22"/>
      </patternFill>
    </fill>
    <fill>
      <patternFill patternType="solid">
        <fgColor indexed="29"/>
      </patternFill>
    </fill>
    <fill>
      <patternFill patternType="solid">
        <fgColor indexed="49"/>
      </patternFill>
    </fill>
    <fill>
      <patternFill patternType="solid">
        <fgColor indexed="19"/>
      </patternFill>
    </fill>
    <fill>
      <patternFill patternType="solid">
        <fgColor indexed="54"/>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rgb="FFAFDFE5"/>
        <bgColor indexed="64"/>
      </patternFill>
    </fill>
    <fill>
      <patternFill patternType="solid">
        <fgColor rgb="FF01A4C4"/>
        <bgColor indexed="64"/>
      </patternFill>
    </fill>
    <fill>
      <patternFill patternType="solid">
        <fgColor rgb="FFFBAA27"/>
        <bgColor indexed="64"/>
      </patternFill>
    </fill>
    <fill>
      <patternFill patternType="solid">
        <fgColor rgb="FFBFD73B"/>
        <bgColor indexed="64"/>
      </patternFill>
    </fill>
    <fill>
      <patternFill patternType="solid">
        <fgColor rgb="FFD5E478"/>
        <bgColor indexed="64"/>
      </patternFill>
    </fill>
    <fill>
      <patternFill patternType="solid">
        <fgColor rgb="FF8082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9" tint="0.59999389629810485"/>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338">
    <xf numFmtId="0" fontId="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7" fillId="3" borderId="1" applyNumberFormat="0" applyAlignment="0" applyProtection="0"/>
    <xf numFmtId="0" fontId="7" fillId="3" borderId="1" applyNumberFormat="0" applyAlignment="0" applyProtection="0"/>
    <xf numFmtId="0" fontId="7" fillId="3" borderId="1" applyNumberFormat="0" applyAlignment="0" applyProtection="0"/>
    <xf numFmtId="0" fontId="7" fillId="3" borderId="1" applyNumberFormat="0" applyAlignment="0" applyProtection="0"/>
    <xf numFmtId="0" fontId="7" fillId="3" borderId="1" applyNumberFormat="0" applyAlignment="0" applyProtection="0"/>
    <xf numFmtId="0" fontId="7" fillId="3" borderId="1" applyNumberFormat="0" applyAlignment="0" applyProtection="0"/>
    <xf numFmtId="0" fontId="7" fillId="3" borderId="1" applyNumberFormat="0" applyAlignment="0" applyProtection="0"/>
    <xf numFmtId="0" fontId="8" fillId="14" borderId="2" applyNumberFormat="0" applyAlignment="0" applyProtection="0"/>
    <xf numFmtId="0" fontId="8" fillId="14" borderId="2" applyNumberFormat="0" applyAlignment="0" applyProtection="0"/>
    <xf numFmtId="0" fontId="8" fillId="14" borderId="2" applyNumberFormat="0" applyAlignment="0" applyProtection="0"/>
    <xf numFmtId="0" fontId="8" fillId="14" borderId="2" applyNumberFormat="0" applyAlignment="0" applyProtection="0"/>
    <xf numFmtId="0" fontId="8" fillId="14" borderId="2" applyNumberFormat="0" applyAlignment="0" applyProtection="0"/>
    <xf numFmtId="0" fontId="8" fillId="14" borderId="2" applyNumberFormat="0" applyAlignment="0" applyProtection="0"/>
    <xf numFmtId="0" fontId="8" fillId="14"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0" fontId="2" fillId="15" borderId="0" applyNumberFormat="0" applyAlignment="0">
      <alignment horizontal="right"/>
    </xf>
    <xf numFmtId="0" fontId="2" fillId="16" borderId="0" applyNumberFormat="0" applyAlignment="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3" fillId="17" borderId="7" applyNumberFormat="0" applyFont="0" applyAlignment="0" applyProtection="0"/>
    <xf numFmtId="0" fontId="23" fillId="17" borderId="7" applyNumberFormat="0" applyFont="0" applyAlignment="0" applyProtection="0"/>
    <xf numFmtId="0" fontId="23" fillId="17" borderId="7" applyNumberFormat="0" applyFont="0" applyAlignment="0" applyProtection="0"/>
    <xf numFmtId="0" fontId="23" fillId="17" borderId="7" applyNumberFormat="0" applyFont="0" applyAlignment="0" applyProtection="0"/>
    <xf numFmtId="0" fontId="23" fillId="17" borderId="7" applyNumberFormat="0" applyFont="0" applyAlignment="0" applyProtection="0"/>
    <xf numFmtId="0" fontId="23" fillId="17" borderId="7" applyNumberFormat="0" applyFont="0" applyAlignment="0" applyProtection="0"/>
    <xf numFmtId="0" fontId="23" fillId="17" borderId="7" applyNumberFormat="0" applyFont="0" applyAlignment="0" applyProtection="0"/>
    <xf numFmtId="0" fontId="14" fillId="3" borderId="8" applyNumberFormat="0" applyAlignment="0" applyProtection="0"/>
    <xf numFmtId="0" fontId="14" fillId="3" borderId="8" applyNumberFormat="0" applyAlignment="0" applyProtection="0"/>
    <xf numFmtId="0" fontId="14" fillId="3" borderId="8" applyNumberFormat="0" applyAlignment="0" applyProtection="0"/>
    <xf numFmtId="0" fontId="14" fillId="3" borderId="8" applyNumberFormat="0" applyAlignment="0" applyProtection="0"/>
    <xf numFmtId="0" fontId="14" fillId="3" borderId="8" applyNumberFormat="0" applyAlignment="0" applyProtection="0"/>
    <xf numFmtId="0" fontId="14" fillId="3" borderId="8" applyNumberFormat="0" applyAlignment="0" applyProtection="0"/>
    <xf numFmtId="0" fontId="14" fillId="3" borderId="8" applyNumberForma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1" fillId="0" borderId="0" applyNumberFormat="0" applyFill="0" applyBorder="0" applyAlignment="0" applyProtection="0"/>
    <xf numFmtId="44" fontId="54" fillId="0" borderId="0" applyFont="0" applyFill="0" applyBorder="0" applyAlignment="0" applyProtection="0"/>
  </cellStyleXfs>
  <cellXfs count="482">
    <xf numFmtId="0" fontId="0" fillId="0" borderId="0" xfId="0"/>
    <xf numFmtId="0" fontId="2" fillId="0" borderId="10" xfId="276" applyBorder="1" applyAlignment="1" applyProtection="1">
      <alignment wrapText="1"/>
    </xf>
    <xf numFmtId="0" fontId="2" fillId="19" borderId="0" xfId="276" applyFill="1" applyProtection="1"/>
    <xf numFmtId="0" fontId="2" fillId="0" borderId="0" xfId="276" applyProtection="1"/>
    <xf numFmtId="0" fontId="27" fillId="0" borderId="11" xfId="0" applyFont="1" applyBorder="1" applyAlignment="1" applyProtection="1">
      <alignment horizontal="center"/>
    </xf>
    <xf numFmtId="0" fontId="28" fillId="20" borderId="12" xfId="276" applyFont="1" applyFill="1" applyBorder="1" applyAlignment="1" applyProtection="1">
      <alignment horizontal="center" vertical="center" wrapText="1"/>
    </xf>
    <xf numFmtId="0" fontId="2" fillId="0" borderId="0" xfId="276" applyFill="1" applyProtection="1"/>
    <xf numFmtId="0" fontId="40" fillId="22" borderId="14" xfId="276" applyFont="1" applyFill="1" applyBorder="1" applyAlignment="1" applyProtection="1">
      <alignment horizontal="center" vertical="center" wrapText="1"/>
    </xf>
    <xf numFmtId="0" fontId="2" fillId="19" borderId="0" xfId="276" applyFill="1" applyAlignment="1" applyProtection="1">
      <alignment vertical="center"/>
    </xf>
    <xf numFmtId="0" fontId="2" fillId="0" borderId="0" xfId="276" applyFill="1" applyAlignment="1" applyProtection="1">
      <alignment vertical="center"/>
    </xf>
    <xf numFmtId="0" fontId="40" fillId="22" borderId="13" xfId="276" applyFont="1" applyFill="1" applyBorder="1" applyAlignment="1" applyProtection="1">
      <alignment horizontal="left" vertical="center" wrapText="1"/>
    </xf>
    <xf numFmtId="0" fontId="40" fillId="22" borderId="14" xfId="276" applyFont="1" applyFill="1" applyBorder="1" applyAlignment="1" applyProtection="1">
      <alignment horizontal="left" vertical="center" wrapText="1"/>
    </xf>
    <xf numFmtId="0" fontId="29" fillId="23" borderId="17" xfId="276" applyFont="1" applyFill="1" applyBorder="1" applyAlignment="1" applyProtection="1">
      <alignment horizontal="center" vertical="center" wrapText="1"/>
    </xf>
    <xf numFmtId="0" fontId="2" fillId="19" borderId="0" xfId="276" applyFill="1" applyAlignment="1" applyProtection="1">
      <alignment wrapText="1"/>
    </xf>
    <xf numFmtId="0" fontId="2" fillId="19" borderId="0" xfId="276" applyFill="1" applyAlignment="1" applyProtection="1">
      <alignment horizontal="center"/>
    </xf>
    <xf numFmtId="0" fontId="2" fillId="0" borderId="0" xfId="276" applyAlignment="1" applyProtection="1">
      <alignment wrapText="1"/>
    </xf>
    <xf numFmtId="0" fontId="2" fillId="0" borderId="0" xfId="276" applyAlignment="1" applyProtection="1">
      <alignment horizontal="center"/>
    </xf>
    <xf numFmtId="0" fontId="2" fillId="19" borderId="0" xfId="276" applyFill="1" applyAlignment="1" applyProtection="1">
      <alignment horizontal="left" vertical="center"/>
    </xf>
    <xf numFmtId="0" fontId="2" fillId="0" borderId="0" xfId="276" applyAlignment="1" applyProtection="1">
      <alignment horizontal="left" vertical="center"/>
    </xf>
    <xf numFmtId="0" fontId="2" fillId="23" borderId="17" xfId="276" applyFont="1" applyFill="1" applyBorder="1" applyProtection="1"/>
    <xf numFmtId="0" fontId="2" fillId="0" borderId="20" xfId="276" applyBorder="1" applyAlignment="1" applyProtection="1">
      <alignment wrapText="1"/>
    </xf>
    <xf numFmtId="0" fontId="27" fillId="0" borderId="0" xfId="0" applyFont="1" applyBorder="1" applyAlignment="1" applyProtection="1">
      <alignment horizontal="center"/>
    </xf>
    <xf numFmtId="0" fontId="27" fillId="0" borderId="21" xfId="0" applyFont="1" applyBorder="1" applyAlignment="1" applyProtection="1"/>
    <xf numFmtId="0" fontId="2" fillId="0" borderId="0" xfId="276" applyBorder="1" applyProtection="1"/>
    <xf numFmtId="0" fontId="41" fillId="0" borderId="11" xfId="276" applyFont="1" applyBorder="1" applyAlignment="1" applyProtection="1">
      <alignment horizontal="right" vertical="top"/>
    </xf>
    <xf numFmtId="0" fontId="2" fillId="0" borderId="22" xfId="276" applyBorder="1" applyProtection="1"/>
    <xf numFmtId="0" fontId="27" fillId="0" borderId="22" xfId="0" applyFont="1" applyBorder="1" applyAlignment="1" applyProtection="1">
      <alignment horizontal="center"/>
    </xf>
    <xf numFmtId="0" fontId="42" fillId="0" borderId="22" xfId="0" applyFont="1" applyBorder="1" applyAlignment="1" applyProtection="1">
      <alignment horizontal="center"/>
    </xf>
    <xf numFmtId="164" fontId="42" fillId="0" borderId="22" xfId="0" applyNumberFormat="1" applyFont="1" applyBorder="1" applyAlignment="1" applyProtection="1">
      <alignment horizontal="center" vertical="center" wrapText="1"/>
    </xf>
    <xf numFmtId="0" fontId="43" fillId="0" borderId="0" xfId="0" applyFont="1" applyBorder="1" applyAlignment="1" applyProtection="1">
      <alignment horizontal="right" vertical="top"/>
    </xf>
    <xf numFmtId="0" fontId="42" fillId="0" borderId="0" xfId="0" applyFont="1" applyBorder="1" applyAlignment="1" applyProtection="1">
      <alignment horizontal="center"/>
    </xf>
    <xf numFmtId="164" fontId="42" fillId="0" borderId="0" xfId="0" applyNumberFormat="1" applyFont="1" applyBorder="1" applyAlignment="1" applyProtection="1">
      <alignment horizontal="center" vertical="center" wrapText="1"/>
    </xf>
    <xf numFmtId="0" fontId="42" fillId="0" borderId="11" xfId="0" applyFont="1" applyBorder="1" applyAlignment="1" applyProtection="1">
      <alignment horizontal="center"/>
    </xf>
    <xf numFmtId="164" fontId="42" fillId="0" borderId="11" xfId="0" applyNumberFormat="1" applyFont="1" applyBorder="1" applyAlignment="1" applyProtection="1">
      <alignment horizontal="center" vertical="center" wrapText="1"/>
    </xf>
    <xf numFmtId="0" fontId="0" fillId="0" borderId="0" xfId="0" applyAlignment="1" applyProtection="1">
      <alignment horizontal="center"/>
    </xf>
    <xf numFmtId="164" fontId="0" fillId="0" borderId="0" xfId="0" applyNumberFormat="1" applyBorder="1" applyAlignment="1" applyProtection="1">
      <alignment horizontal="center" vertical="center" wrapText="1"/>
    </xf>
    <xf numFmtId="0" fontId="27" fillId="0" borderId="22" xfId="0" applyFont="1" applyBorder="1" applyAlignment="1" applyProtection="1"/>
    <xf numFmtId="0" fontId="27" fillId="0" borderId="0" xfId="0" applyFont="1" applyBorder="1" applyAlignment="1" applyProtection="1"/>
    <xf numFmtId="0" fontId="27" fillId="0" borderId="11" xfId="0" applyFont="1" applyBorder="1" applyAlignment="1" applyProtection="1"/>
    <xf numFmtId="164" fontId="2" fillId="23" borderId="17" xfId="276" applyNumberFormat="1" applyFill="1" applyBorder="1" applyAlignment="1" applyProtection="1">
      <alignment horizontal="right" indent="1"/>
    </xf>
    <xf numFmtId="0" fontId="2" fillId="0" borderId="0" xfId="276" applyAlignment="1" applyProtection="1">
      <alignment vertical="center"/>
    </xf>
    <xf numFmtId="164" fontId="43" fillId="0" borderId="0" xfId="0" applyNumberFormat="1" applyFont="1" applyBorder="1" applyAlignment="1" applyProtection="1">
      <alignment horizontal="right" vertical="top" wrapText="1"/>
    </xf>
    <xf numFmtId="164" fontId="45" fillId="0" borderId="0" xfId="0" applyNumberFormat="1" applyFont="1" applyBorder="1" applyAlignment="1" applyProtection="1">
      <alignment horizontal="right" vertical="top"/>
    </xf>
    <xf numFmtId="44" fontId="46" fillId="0" borderId="11" xfId="0" applyNumberFormat="1" applyFont="1" applyBorder="1" applyAlignment="1" applyProtection="1">
      <alignment horizontal="right"/>
    </xf>
    <xf numFmtId="44" fontId="46" fillId="0" borderId="30" xfId="0" applyNumberFormat="1" applyFont="1" applyBorder="1" applyAlignment="1" applyProtection="1"/>
    <xf numFmtId="0" fontId="41" fillId="27" borderId="12" xfId="276" applyFont="1" applyFill="1" applyBorder="1" applyAlignment="1" applyProtection="1">
      <alignment horizontal="left" vertical="center" indent="1"/>
      <protection locked="0"/>
    </xf>
    <xf numFmtId="0" fontId="34" fillId="0" borderId="21" xfId="0" applyFont="1" applyBorder="1" applyAlignment="1" applyProtection="1">
      <alignment vertical="center"/>
    </xf>
    <xf numFmtId="44" fontId="46" fillId="0" borderId="21" xfId="0" applyNumberFormat="1" applyFont="1" applyBorder="1" applyAlignment="1" applyProtection="1">
      <alignment vertical="center"/>
    </xf>
    <xf numFmtId="44" fontId="43" fillId="27" borderId="12" xfId="0" applyNumberFormat="1" applyFont="1" applyFill="1" applyBorder="1" applyAlignment="1" applyProtection="1">
      <alignment horizontal="left" vertical="center" indent="1"/>
      <protection locked="0"/>
    </xf>
    <xf numFmtId="0" fontId="35" fillId="0" borderId="21" xfId="0" applyFont="1" applyBorder="1" applyAlignment="1" applyProtection="1">
      <alignment vertical="top"/>
    </xf>
    <xf numFmtId="0" fontId="41" fillId="27" borderId="12" xfId="0" applyFont="1" applyFill="1" applyBorder="1" applyAlignment="1" applyProtection="1">
      <alignment horizontal="left" vertical="center" indent="1"/>
      <protection locked="0"/>
    </xf>
    <xf numFmtId="0" fontId="2" fillId="0" borderId="0" xfId="276" applyBorder="1" applyAlignment="1" applyProtection="1">
      <alignment horizontal="center"/>
    </xf>
    <xf numFmtId="44" fontId="46" fillId="0" borderId="11" xfId="0" applyNumberFormat="1" applyFont="1" applyFill="1" applyBorder="1" applyAlignment="1" applyProtection="1">
      <alignment horizontal="right"/>
    </xf>
    <xf numFmtId="14" fontId="33" fillId="0" borderId="0" xfId="276" applyNumberFormat="1" applyFont="1" applyAlignment="1" applyProtection="1">
      <alignment horizontal="center"/>
    </xf>
    <xf numFmtId="0" fontId="2" fillId="0" borderId="22" xfId="276" applyBorder="1" applyAlignment="1" applyProtection="1">
      <alignment wrapText="1"/>
    </xf>
    <xf numFmtId="0" fontId="2" fillId="0" borderId="0" xfId="276" applyBorder="1" applyAlignment="1" applyProtection="1">
      <alignment wrapText="1"/>
    </xf>
    <xf numFmtId="0" fontId="27" fillId="0" borderId="0" xfId="276" applyFont="1" applyBorder="1" applyAlignment="1" applyProtection="1">
      <alignment horizontal="center" vertical="top" wrapText="1"/>
    </xf>
    <xf numFmtId="0" fontId="0" fillId="0" borderId="0" xfId="0" applyBorder="1" applyAlignment="1">
      <alignment horizontal="center" vertical="top" wrapText="1"/>
    </xf>
    <xf numFmtId="0" fontId="27" fillId="0" borderId="11" xfId="276" applyFont="1" applyBorder="1" applyAlignment="1" applyProtection="1">
      <alignment horizontal="center" vertical="top" wrapText="1"/>
    </xf>
    <xf numFmtId="0" fontId="3" fillId="0" borderId="18" xfId="0" applyFont="1" applyBorder="1"/>
    <xf numFmtId="0" fontId="36" fillId="0" borderId="18" xfId="0" applyFont="1" applyBorder="1" applyAlignment="1">
      <alignment vertical="center"/>
    </xf>
    <xf numFmtId="165" fontId="0" fillId="0" borderId="18" xfId="190" applyNumberFormat="1" applyFont="1" applyBorder="1" applyAlignment="1">
      <alignment horizontal="right" vertical="center"/>
    </xf>
    <xf numFmtId="165" fontId="0" fillId="0" borderId="18" xfId="190" applyNumberFormat="1" applyFont="1" applyBorder="1" applyAlignment="1">
      <alignment horizontal="center" vertical="center"/>
    </xf>
    <xf numFmtId="0" fontId="0" fillId="0" borderId="0" xfId="0" applyBorder="1"/>
    <xf numFmtId="0" fontId="2" fillId="0" borderId="0" xfId="275" applyFont="1" applyFill="1" applyBorder="1"/>
    <xf numFmtId="9" fontId="2" fillId="0" borderId="0" xfId="314" applyFont="1" applyFill="1" applyBorder="1" applyAlignment="1">
      <alignment horizontal="center"/>
    </xf>
    <xf numFmtId="0" fontId="2" fillId="0" borderId="0" xfId="275" applyFont="1" applyFill="1" applyBorder="1" applyAlignment="1">
      <alignment horizontal="center"/>
    </xf>
    <xf numFmtId="0" fontId="0" fillId="0" borderId="0" xfId="0" applyFill="1" applyBorder="1"/>
    <xf numFmtId="9" fontId="2" fillId="0" borderId="0" xfId="275" applyNumberFormat="1" applyFont="1" applyFill="1" applyBorder="1" applyAlignment="1">
      <alignment horizontal="center"/>
    </xf>
    <xf numFmtId="0" fontId="2" fillId="0" borderId="0" xfId="275" applyFont="1"/>
    <xf numFmtId="164" fontId="2" fillId="0" borderId="0" xfId="275" applyNumberFormat="1" applyFont="1" applyAlignment="1">
      <alignment horizontal="center"/>
    </xf>
    <xf numFmtId="0" fontId="29" fillId="0" borderId="0" xfId="0" applyFont="1"/>
    <xf numFmtId="0" fontId="2" fillId="0" borderId="0" xfId="0" applyFont="1"/>
    <xf numFmtId="0" fontId="3" fillId="0" borderId="0" xfId="0" applyFont="1"/>
    <xf numFmtId="0" fontId="2" fillId="0" borderId="32" xfId="0" applyFont="1" applyBorder="1"/>
    <xf numFmtId="0" fontId="0" fillId="0" borderId="33" xfId="0" applyBorder="1"/>
    <xf numFmtId="0" fontId="0" fillId="0" borderId="34" xfId="0" applyBorder="1"/>
    <xf numFmtId="0" fontId="2" fillId="0" borderId="35" xfId="0" applyFont="1" applyBorder="1"/>
    <xf numFmtId="0" fontId="2" fillId="0" borderId="0" xfId="0" applyFont="1" applyBorder="1"/>
    <xf numFmtId="0" fontId="0" fillId="0" borderId="36" xfId="0" applyBorder="1"/>
    <xf numFmtId="0" fontId="2" fillId="0" borderId="27" xfId="0" applyFont="1" applyBorder="1"/>
    <xf numFmtId="0" fontId="2" fillId="0" borderId="37" xfId="0" applyFont="1" applyBorder="1"/>
    <xf numFmtId="0" fontId="0" fillId="0" borderId="37" xfId="0" applyBorder="1"/>
    <xf numFmtId="0" fontId="0" fillId="0" borderId="38" xfId="0" applyBorder="1"/>
    <xf numFmtId="0" fontId="3" fillId="0" borderId="18" xfId="0" applyFont="1" applyBorder="1" applyAlignment="1">
      <alignment wrapText="1"/>
    </xf>
    <xf numFmtId="6" fontId="0" fillId="0" borderId="18" xfId="0" applyNumberFormat="1" applyBorder="1"/>
    <xf numFmtId="6" fontId="0" fillId="0" borderId="39" xfId="0" applyNumberFormat="1" applyBorder="1"/>
    <xf numFmtId="0" fontId="2" fillId="0" borderId="0" xfId="0" applyFont="1" applyAlignment="1">
      <alignment horizontal="center" vertical="center" wrapText="1"/>
    </xf>
    <xf numFmtId="0" fontId="3" fillId="0" borderId="23" xfId="0" applyFont="1" applyBorder="1"/>
    <xf numFmtId="0" fontId="2" fillId="0" borderId="0" xfId="0" applyFont="1" applyFill="1" applyBorder="1" applyAlignment="1">
      <alignment wrapText="1"/>
    </xf>
    <xf numFmtId="0" fontId="2" fillId="0" borderId="32" xfId="0" applyFont="1" applyBorder="1" applyAlignment="1">
      <alignment wrapText="1"/>
    </xf>
    <xf numFmtId="0" fontId="2" fillId="0" borderId="27" xfId="0" applyFont="1" applyBorder="1" applyAlignment="1">
      <alignment wrapText="1"/>
    </xf>
    <xf numFmtId="2" fontId="0" fillId="0" borderId="18" xfId="0" applyNumberFormat="1" applyBorder="1" applyAlignment="1">
      <alignment horizontal="center"/>
    </xf>
    <xf numFmtId="0" fontId="0" fillId="0" borderId="18" xfId="0" applyBorder="1" applyAlignment="1">
      <alignment horizontal="center" vertical="center"/>
    </xf>
    <xf numFmtId="9" fontId="0" fillId="0" borderId="18" xfId="0" applyNumberFormat="1" applyBorder="1" applyAlignment="1">
      <alignment horizontal="center" vertical="center"/>
    </xf>
    <xf numFmtId="0" fontId="2" fillId="0" borderId="18" xfId="0" applyFont="1" applyBorder="1" applyAlignment="1">
      <alignment horizontal="center" vertical="center"/>
    </xf>
    <xf numFmtId="0" fontId="0" fillId="0" borderId="23" xfId="0" applyBorder="1" applyAlignment="1">
      <alignment horizontal="center" vertical="center"/>
    </xf>
    <xf numFmtId="166" fontId="0" fillId="0" borderId="24" xfId="0" applyNumberFormat="1" applyBorder="1" applyAlignment="1">
      <alignment horizontal="center" vertical="center"/>
    </xf>
    <xf numFmtId="0" fontId="2" fillId="0" borderId="23" xfId="0" applyFont="1" applyBorder="1" applyAlignment="1">
      <alignment horizontal="center" vertical="center"/>
    </xf>
    <xf numFmtId="0" fontId="2" fillId="0" borderId="40" xfId="0" applyFont="1" applyBorder="1" applyAlignment="1">
      <alignment horizontal="center" vertical="center"/>
    </xf>
    <xf numFmtId="9" fontId="0" fillId="0" borderId="39" xfId="0" applyNumberFormat="1" applyBorder="1" applyAlignment="1">
      <alignment horizontal="center" vertical="center"/>
    </xf>
    <xf numFmtId="0" fontId="2" fillId="0" borderId="39" xfId="0" applyFont="1" applyBorder="1" applyAlignment="1">
      <alignment horizontal="center" vertical="center"/>
    </xf>
    <xf numFmtId="0" fontId="0" fillId="0" borderId="39" xfId="0" applyBorder="1" applyAlignment="1">
      <alignment horizontal="center" vertical="center"/>
    </xf>
    <xf numFmtId="166" fontId="0" fillId="0" borderId="39" xfId="0" applyNumberFormat="1" applyBorder="1" applyAlignment="1">
      <alignment horizontal="center" vertical="center"/>
    </xf>
    <xf numFmtId="166" fontId="0" fillId="0" borderId="25" xfId="0" applyNumberFormat="1" applyBorder="1" applyAlignment="1">
      <alignment horizontal="center" vertical="center"/>
    </xf>
    <xf numFmtId="166" fontId="2" fillId="23" borderId="17" xfId="276" applyNumberFormat="1" applyFont="1" applyFill="1" applyBorder="1" applyProtection="1"/>
    <xf numFmtId="164" fontId="3" fillId="25" borderId="19" xfId="0" applyNumberFormat="1" applyFont="1" applyFill="1" applyBorder="1" applyAlignment="1" applyProtection="1">
      <alignment horizontal="center" vertical="center" wrapText="1"/>
    </xf>
    <xf numFmtId="0" fontId="47" fillId="25" borderId="19" xfId="276" applyFont="1" applyFill="1" applyBorder="1" applyAlignment="1" applyProtection="1">
      <alignment horizontal="center" vertical="center" wrapText="1"/>
    </xf>
    <xf numFmtId="168" fontId="2" fillId="0" borderId="18" xfId="190" applyNumberFormat="1" applyFont="1" applyFill="1" applyBorder="1"/>
    <xf numFmtId="0" fontId="35" fillId="20" borderId="12" xfId="276" applyFont="1" applyFill="1" applyBorder="1" applyAlignment="1" applyProtection="1">
      <alignment horizontal="center" vertical="center" wrapText="1"/>
    </xf>
    <xf numFmtId="164" fontId="44" fillId="20" borderId="12" xfId="0" applyNumberFormat="1" applyFont="1" applyFill="1" applyBorder="1" applyAlignment="1" applyProtection="1">
      <alignment horizontal="center" vertical="center" wrapText="1"/>
    </xf>
    <xf numFmtId="0" fontId="35" fillId="20" borderId="13" xfId="276" applyFont="1" applyFill="1" applyBorder="1" applyAlignment="1" applyProtection="1">
      <alignment horizontal="center" vertical="center" wrapText="1"/>
    </xf>
    <xf numFmtId="0" fontId="35" fillId="21" borderId="13" xfId="276" applyFont="1" applyFill="1" applyBorder="1" applyAlignment="1" applyProtection="1">
      <alignment horizontal="center" vertical="center" wrapText="1"/>
    </xf>
    <xf numFmtId="0" fontId="50" fillId="22" borderId="15" xfId="276" applyFont="1" applyFill="1" applyBorder="1" applyAlignment="1" applyProtection="1">
      <alignment horizontal="left" vertical="center" wrapText="1"/>
    </xf>
    <xf numFmtId="0" fontId="3" fillId="0" borderId="18" xfId="0" applyFont="1" applyFill="1" applyBorder="1" applyAlignment="1">
      <alignment wrapText="1"/>
    </xf>
    <xf numFmtId="169" fontId="2" fillId="19" borderId="0" xfId="276" applyNumberFormat="1" applyFill="1" applyAlignment="1" applyProtection="1">
      <alignment wrapText="1"/>
    </xf>
    <xf numFmtId="0" fontId="47" fillId="0" borderId="18" xfId="276" applyFont="1" applyFill="1" applyBorder="1" applyAlignment="1" applyProtection="1">
      <alignment horizontal="center" vertical="center" wrapText="1"/>
    </xf>
    <xf numFmtId="0" fontId="2" fillId="23" borderId="28" xfId="276" applyFont="1" applyFill="1" applyBorder="1" applyProtection="1"/>
    <xf numFmtId="164" fontId="26" fillId="21" borderId="11" xfId="0" applyNumberFormat="1" applyFont="1" applyFill="1" applyBorder="1" applyAlignment="1" applyProtection="1">
      <alignment horizontal="center" vertical="center"/>
    </xf>
    <xf numFmtId="164" fontId="26" fillId="21" borderId="46" xfId="0" applyNumberFormat="1" applyFont="1" applyFill="1" applyBorder="1" applyAlignment="1" applyProtection="1">
      <alignment horizontal="center" vertical="center"/>
    </xf>
    <xf numFmtId="164" fontId="43" fillId="0" borderId="0" xfId="0" applyNumberFormat="1" applyFont="1" applyBorder="1" applyAlignment="1" applyProtection="1">
      <alignment horizontal="right" vertical="top" wrapText="1"/>
    </xf>
    <xf numFmtId="44" fontId="51" fillId="27" borderId="12" xfId="336" applyNumberFormat="1" applyFill="1" applyBorder="1" applyAlignment="1" applyProtection="1">
      <alignment horizontal="left" vertical="center" indent="1"/>
      <protection locked="0"/>
    </xf>
    <xf numFmtId="0" fontId="27" fillId="0" borderId="29" xfId="276" applyFont="1" applyBorder="1" applyAlignment="1" applyProtection="1">
      <alignment horizontal="center" vertical="top" wrapText="1"/>
      <protection locked="0"/>
    </xf>
    <xf numFmtId="0" fontId="53" fillId="28" borderId="0" xfId="0" applyFont="1" applyFill="1"/>
    <xf numFmtId="0" fontId="1" fillId="0" borderId="0" xfId="0" applyFont="1"/>
    <xf numFmtId="0" fontId="36" fillId="0" borderId="18" xfId="0" applyFont="1" applyFill="1" applyBorder="1" applyAlignment="1">
      <alignment vertical="center"/>
    </xf>
    <xf numFmtId="0" fontId="0" fillId="0" borderId="18" xfId="0" applyBorder="1"/>
    <xf numFmtId="43" fontId="0" fillId="0" borderId="0" xfId="190" applyFont="1" applyAlignment="1">
      <alignment wrapText="1"/>
    </xf>
    <xf numFmtId="0" fontId="3" fillId="0" borderId="18" xfId="0" applyFont="1" applyBorder="1" applyAlignment="1">
      <alignment vertical="center" wrapText="1"/>
    </xf>
    <xf numFmtId="9" fontId="0" fillId="0" borderId="18" xfId="0" applyNumberFormat="1" applyBorder="1"/>
    <xf numFmtId="0" fontId="3" fillId="0" borderId="18" xfId="0" applyFont="1" applyBorder="1" applyAlignment="1">
      <alignment horizontal="center" vertical="center" wrapText="1"/>
    </xf>
    <xf numFmtId="0" fontId="3" fillId="0" borderId="18" xfId="0" applyFont="1" applyBorder="1" applyAlignment="1">
      <alignment horizontal="center" wrapText="1"/>
    </xf>
    <xf numFmtId="10" fontId="0" fillId="0" borderId="18" xfId="0" applyNumberFormat="1" applyBorder="1"/>
    <xf numFmtId="9" fontId="0" fillId="0" borderId="39" xfId="0" applyNumberFormat="1" applyBorder="1"/>
    <xf numFmtId="0" fontId="1" fillId="0" borderId="18" xfId="0" applyFont="1" applyBorder="1"/>
    <xf numFmtId="164" fontId="0" fillId="0" borderId="18" xfId="337" applyNumberFormat="1" applyFont="1" applyBorder="1"/>
    <xf numFmtId="165" fontId="0" fillId="0" borderId="18" xfId="190" applyNumberFormat="1" applyFont="1" applyBorder="1"/>
    <xf numFmtId="0" fontId="1" fillId="0" borderId="18" xfId="0" applyFont="1" applyBorder="1" applyAlignment="1">
      <alignment wrapText="1"/>
    </xf>
    <xf numFmtId="0" fontId="3" fillId="0" borderId="45" xfId="0" applyFont="1" applyBorder="1"/>
    <xf numFmtId="0" fontId="3" fillId="0" borderId="18" xfId="0" applyFont="1" applyFill="1" applyBorder="1"/>
    <xf numFmtId="0" fontId="1" fillId="0" borderId="18" xfId="0" applyFont="1" applyFill="1" applyBorder="1"/>
    <xf numFmtId="164" fontId="0" fillId="0" borderId="18" xfId="337" applyNumberFormat="1" applyFont="1" applyFill="1" applyBorder="1"/>
    <xf numFmtId="164" fontId="0" fillId="0" borderId="0" xfId="0" applyNumberFormat="1"/>
    <xf numFmtId="0" fontId="0" fillId="0" borderId="18" xfId="0" applyFill="1" applyBorder="1"/>
    <xf numFmtId="1" fontId="0" fillId="0" borderId="18" xfId="0" applyNumberFormat="1" applyBorder="1"/>
    <xf numFmtId="43" fontId="0" fillId="0" borderId="0" xfId="190" applyNumberFormat="1" applyFont="1" applyFill="1" applyBorder="1"/>
    <xf numFmtId="0" fontId="0" fillId="0" borderId="29" xfId="0" applyBorder="1"/>
    <xf numFmtId="0" fontId="0" fillId="0" borderId="11" xfId="0" applyBorder="1"/>
    <xf numFmtId="3" fontId="0" fillId="0" borderId="18" xfId="0" applyNumberFormat="1" applyBorder="1"/>
    <xf numFmtId="0" fontId="1" fillId="0" borderId="39" xfId="0" applyFont="1" applyBorder="1" applyAlignment="1">
      <alignment horizontal="center" vertical="center" wrapText="1"/>
    </xf>
    <xf numFmtId="8" fontId="0" fillId="0" borderId="39" xfId="0" applyNumberFormat="1" applyBorder="1" applyAlignment="1">
      <alignment wrapText="1"/>
    </xf>
    <xf numFmtId="0" fontId="27" fillId="0" borderId="11" xfId="276" applyFont="1" applyBorder="1" applyAlignment="1" applyProtection="1">
      <alignment horizontal="center" vertical="top" wrapText="1"/>
      <protection locked="0"/>
    </xf>
    <xf numFmtId="0" fontId="50" fillId="22" borderId="14" xfId="276" applyFont="1" applyFill="1" applyBorder="1" applyAlignment="1" applyProtection="1">
      <alignment horizontal="left" vertical="center" wrapText="1"/>
    </xf>
    <xf numFmtId="0" fontId="44" fillId="29" borderId="12" xfId="0" applyFont="1" applyFill="1" applyBorder="1" applyAlignment="1" applyProtection="1">
      <alignment horizontal="center" vertical="center" wrapText="1"/>
    </xf>
    <xf numFmtId="164" fontId="44" fillId="29" borderId="12" xfId="0" applyNumberFormat="1" applyFont="1" applyFill="1" applyBorder="1" applyAlignment="1" applyProtection="1">
      <alignment horizontal="center" vertical="center" wrapText="1"/>
    </xf>
    <xf numFmtId="0" fontId="1" fillId="0" borderId="23" xfId="0" applyFont="1" applyBorder="1" applyAlignment="1">
      <alignment horizontal="center" vertical="center"/>
    </xf>
    <xf numFmtId="9" fontId="39" fillId="0" borderId="11" xfId="306" quotePrefix="1" applyFont="1" applyBorder="1" applyAlignment="1" applyProtection="1">
      <alignment horizontal="center" vertical="center"/>
    </xf>
    <xf numFmtId="170" fontId="0" fillId="0" borderId="18" xfId="306" applyNumberFormat="1" applyFont="1" applyFill="1" applyBorder="1"/>
    <xf numFmtId="0" fontId="3" fillId="0" borderId="11" xfId="276" applyFont="1" applyBorder="1" applyAlignment="1" applyProtection="1">
      <alignment horizontal="center" vertical="top" wrapText="1"/>
    </xf>
    <xf numFmtId="0" fontId="51" fillId="0" borderId="0" xfId="336" applyFill="1"/>
    <xf numFmtId="0" fontId="3" fillId="0" borderId="18" xfId="0" applyFont="1" applyBorder="1" applyAlignment="1">
      <alignment horizontal="center"/>
    </xf>
    <xf numFmtId="0" fontId="1" fillId="0" borderId="18" xfId="0" applyFont="1" applyBorder="1" applyAlignment="1">
      <alignment horizontal="left"/>
    </xf>
    <xf numFmtId="165" fontId="0" fillId="0" borderId="0" xfId="190" applyNumberFormat="1" applyFont="1"/>
    <xf numFmtId="165" fontId="0" fillId="0" borderId="18" xfId="0" applyNumberFormat="1" applyBorder="1"/>
    <xf numFmtId="0" fontId="1" fillId="26" borderId="18" xfId="0" applyFont="1" applyFill="1" applyBorder="1"/>
    <xf numFmtId="0" fontId="1" fillId="19" borderId="0" xfId="276" applyFont="1" applyFill="1" applyAlignment="1" applyProtection="1"/>
    <xf numFmtId="2" fontId="1" fillId="0" borderId="18" xfId="0" applyNumberFormat="1" applyFont="1" applyBorder="1"/>
    <xf numFmtId="0" fontId="1" fillId="0" borderId="0" xfId="0" quotePrefix="1" applyFont="1"/>
    <xf numFmtId="164" fontId="0" fillId="25" borderId="18" xfId="0" applyNumberFormat="1" applyFill="1" applyBorder="1" applyAlignment="1" applyProtection="1">
      <alignment horizontal="center" vertical="center" wrapText="1"/>
    </xf>
    <xf numFmtId="0" fontId="35" fillId="21" borderId="30" xfId="276" applyFont="1" applyFill="1" applyBorder="1" applyAlignment="1" applyProtection="1">
      <alignment horizontal="center" vertical="center" wrapText="1"/>
    </xf>
    <xf numFmtId="0" fontId="26" fillId="0" borderId="11" xfId="276" applyFont="1" applyBorder="1" applyAlignment="1" applyProtection="1">
      <alignment horizontal="center" vertical="top" wrapText="1"/>
    </xf>
    <xf numFmtId="43" fontId="26" fillId="0" borderId="11" xfId="190" applyFont="1" applyBorder="1" applyAlignment="1" applyProtection="1">
      <alignment horizontal="center" vertical="top" wrapText="1"/>
    </xf>
    <xf numFmtId="0" fontId="1" fillId="0" borderId="33" xfId="0" applyFont="1" applyBorder="1"/>
    <xf numFmtId="0" fontId="1" fillId="0" borderId="18" xfId="0" quotePrefix="1" applyFont="1" applyBorder="1"/>
    <xf numFmtId="0" fontId="1" fillId="0" borderId="18" xfId="0" quotePrefix="1" applyFont="1" applyBorder="1" applyAlignment="1">
      <alignment horizontal="left"/>
    </xf>
    <xf numFmtId="0" fontId="2" fillId="0" borderId="16" xfId="0" applyFont="1" applyBorder="1" applyAlignment="1"/>
    <xf numFmtId="0" fontId="0" fillId="0" borderId="17" xfId="0" applyBorder="1" applyAlignment="1"/>
    <xf numFmtId="0" fontId="0" fillId="0" borderId="31" xfId="0" applyBorder="1" applyAlignment="1"/>
    <xf numFmtId="0" fontId="2" fillId="0" borderId="47" xfId="0" applyFont="1" applyBorder="1" applyAlignment="1"/>
    <xf numFmtId="0" fontId="0" fillId="0" borderId="48" xfId="0" applyBorder="1" applyAlignment="1"/>
    <xf numFmtId="0" fontId="0" fillId="0" borderId="49" xfId="0" applyBorder="1" applyAlignment="1"/>
    <xf numFmtId="0" fontId="3" fillId="0" borderId="26" xfId="0" applyFont="1" applyBorder="1" applyAlignment="1">
      <alignment wrapText="1"/>
    </xf>
    <xf numFmtId="171" fontId="0" fillId="0" borderId="26" xfId="0" applyNumberFormat="1" applyBorder="1"/>
    <xf numFmtId="171" fontId="0" fillId="0" borderId="32" xfId="0" applyNumberFormat="1" applyBorder="1"/>
    <xf numFmtId="0" fontId="3" fillId="0" borderId="28" xfId="0" applyFont="1" applyBorder="1" applyAlignment="1"/>
    <xf numFmtId="0" fontId="51" fillId="0" borderId="44" xfId="336" applyBorder="1" applyAlignment="1"/>
    <xf numFmtId="0" fontId="0" fillId="0" borderId="26" xfId="0" applyBorder="1"/>
    <xf numFmtId="43" fontId="0" fillId="0" borderId="18" xfId="190" applyFont="1" applyBorder="1"/>
    <xf numFmtId="8" fontId="0" fillId="0" borderId="26" xfId="337" applyNumberFormat="1" applyFont="1" applyBorder="1"/>
    <xf numFmtId="0" fontId="1" fillId="0" borderId="26" xfId="0" applyFont="1" applyBorder="1"/>
    <xf numFmtId="164" fontId="0" fillId="0" borderId="18" xfId="0" applyNumberFormat="1" applyBorder="1"/>
    <xf numFmtId="172" fontId="0" fillId="0" borderId="18" xfId="0" applyNumberFormat="1" applyBorder="1"/>
    <xf numFmtId="172" fontId="1" fillId="0" borderId="18" xfId="0" applyNumberFormat="1" applyFont="1" applyBorder="1"/>
    <xf numFmtId="0" fontId="51" fillId="0" borderId="0" xfId="336"/>
    <xf numFmtId="8" fontId="0" fillId="0" borderId="18" xfId="0" applyNumberFormat="1" applyFill="1" applyBorder="1" applyAlignment="1">
      <alignment wrapText="1"/>
    </xf>
    <xf numFmtId="6" fontId="0" fillId="0" borderId="18" xfId="0" applyNumberFormat="1" applyFill="1" applyBorder="1" applyAlignment="1">
      <alignment wrapText="1"/>
    </xf>
    <xf numFmtId="8" fontId="0" fillId="0" borderId="39" xfId="0" applyNumberFormat="1" applyFill="1" applyBorder="1" applyAlignment="1">
      <alignment wrapText="1"/>
    </xf>
    <xf numFmtId="0" fontId="1" fillId="26" borderId="24" xfId="276" applyFont="1" applyFill="1" applyBorder="1" applyAlignment="1" applyProtection="1">
      <alignment horizontal="left" vertical="center" wrapText="1"/>
    </xf>
    <xf numFmtId="0" fontId="0" fillId="0" borderId="18" xfId="0" applyFont="1" applyBorder="1" applyAlignment="1">
      <alignment vertical="center"/>
    </xf>
    <xf numFmtId="164" fontId="0" fillId="0" borderId="18" xfId="0" applyNumberFormat="1" applyBorder="1" applyAlignment="1">
      <alignment horizontal="left" vertical="center"/>
    </xf>
    <xf numFmtId="0" fontId="0" fillId="0" borderId="18" xfId="0" applyFont="1" applyFill="1" applyBorder="1" applyAlignment="1">
      <alignment vertical="center"/>
    </xf>
    <xf numFmtId="172" fontId="0" fillId="0" borderId="18" xfId="0" applyNumberFormat="1" applyFont="1" applyFill="1" applyBorder="1" applyAlignment="1">
      <alignment horizontal="left"/>
    </xf>
    <xf numFmtId="164" fontId="0" fillId="0" borderId="18" xfId="0" applyNumberFormat="1" applyFont="1" applyBorder="1" applyAlignment="1">
      <alignment horizontal="left"/>
    </xf>
    <xf numFmtId="0" fontId="0" fillId="0" borderId="18" xfId="0" applyFont="1" applyFill="1" applyBorder="1" applyAlignment="1"/>
    <xf numFmtId="164" fontId="3" fillId="0" borderId="18" xfId="0" applyNumberFormat="1" applyFont="1" applyBorder="1"/>
    <xf numFmtId="0" fontId="3" fillId="26" borderId="18" xfId="0" applyFont="1" applyFill="1" applyBorder="1"/>
    <xf numFmtId="0" fontId="0" fillId="0" borderId="18" xfId="0" applyFont="1" applyBorder="1" applyAlignment="1"/>
    <xf numFmtId="0" fontId="0" fillId="0" borderId="18" xfId="0" applyBorder="1" applyAlignment="1">
      <alignment vertical="center"/>
    </xf>
    <xf numFmtId="0" fontId="3" fillId="33" borderId="18" xfId="0" applyFont="1" applyFill="1" applyBorder="1"/>
    <xf numFmtId="0" fontId="1" fillId="32" borderId="18" xfId="0" applyFont="1" applyFill="1" applyBorder="1"/>
    <xf numFmtId="0" fontId="3" fillId="26" borderId="18" xfId="0" applyFont="1" applyFill="1" applyBorder="1" applyAlignment="1">
      <alignment horizontal="center" vertical="center"/>
    </xf>
    <xf numFmtId="0" fontId="3" fillId="0" borderId="50" xfId="0" applyFont="1" applyBorder="1"/>
    <xf numFmtId="0" fontId="3" fillId="0" borderId="19" xfId="0" applyFont="1" applyBorder="1" applyAlignment="1">
      <alignment wrapText="1"/>
    </xf>
    <xf numFmtId="0" fontId="3" fillId="0" borderId="19" xfId="0" applyFont="1" applyBorder="1" applyAlignment="1">
      <alignment horizontal="center" vertical="center" wrapText="1"/>
    </xf>
    <xf numFmtId="0" fontId="3" fillId="0" borderId="19" xfId="0" applyFont="1" applyBorder="1" applyAlignment="1">
      <alignment horizontal="center" wrapText="1"/>
    </xf>
    <xf numFmtId="0" fontId="3" fillId="0" borderId="43" xfId="0" applyFont="1" applyBorder="1" applyAlignment="1">
      <alignment horizontal="center" wrapText="1"/>
    </xf>
    <xf numFmtId="0" fontId="3" fillId="30" borderId="18" xfId="0" applyFont="1" applyFill="1" applyBorder="1" applyAlignment="1">
      <alignment horizontal="center"/>
    </xf>
    <xf numFmtId="8" fontId="0" fillId="0" borderId="0" xfId="0" applyNumberFormat="1"/>
    <xf numFmtId="171" fontId="0" fillId="0" borderId="0" xfId="0" applyNumberFormat="1" applyBorder="1"/>
    <xf numFmtId="8" fontId="0" fillId="0" borderId="0" xfId="0" applyNumberFormat="1" applyBorder="1"/>
    <xf numFmtId="0" fontId="3" fillId="0" borderId="18" xfId="0" applyFont="1" applyBorder="1" applyAlignment="1"/>
    <xf numFmtId="0" fontId="0" fillId="0" borderId="18" xfId="0" applyBorder="1" applyAlignment="1"/>
    <xf numFmtId="6" fontId="0" fillId="0" borderId="31" xfId="0" applyNumberFormat="1" applyBorder="1"/>
    <xf numFmtId="173" fontId="0" fillId="0" borderId="18" xfId="0" applyNumberFormat="1" applyBorder="1" applyAlignment="1">
      <alignment horizontal="center"/>
    </xf>
    <xf numFmtId="173" fontId="0" fillId="0" borderId="18" xfId="0" applyNumberFormat="1" applyFill="1" applyBorder="1" applyAlignment="1">
      <alignment horizontal="center"/>
    </xf>
    <xf numFmtId="0" fontId="0" fillId="31" borderId="31" xfId="0" applyFill="1" applyBorder="1" applyAlignment="1">
      <alignment horizontal="center"/>
    </xf>
    <xf numFmtId="0" fontId="1" fillId="31" borderId="26" xfId="0" applyFont="1" applyFill="1" applyBorder="1" applyAlignment="1">
      <alignment horizontal="center"/>
    </xf>
    <xf numFmtId="3" fontId="48" fillId="21" borderId="18" xfId="276" applyNumberFormat="1" applyFont="1" applyFill="1" applyBorder="1" applyAlignment="1" applyProtection="1">
      <alignment horizontal="center" vertical="center"/>
    </xf>
    <xf numFmtId="167" fontId="1" fillId="19" borderId="0" xfId="276" quotePrefix="1" applyNumberFormat="1" applyFont="1" applyFill="1" applyAlignment="1" applyProtection="1"/>
    <xf numFmtId="0" fontId="0" fillId="0" borderId="31" xfId="0" applyBorder="1"/>
    <xf numFmtId="0" fontId="55" fillId="0" borderId="18" xfId="0" applyFont="1" applyBorder="1" applyAlignment="1">
      <alignment horizontal="center" vertical="center"/>
    </xf>
    <xf numFmtId="168" fontId="0" fillId="0" borderId="18" xfId="0" applyNumberFormat="1" applyBorder="1"/>
    <xf numFmtId="8" fontId="3" fillId="0" borderId="18" xfId="0" applyNumberFormat="1" applyFont="1" applyBorder="1" applyAlignment="1">
      <alignment wrapText="1"/>
    </xf>
    <xf numFmtId="6" fontId="3" fillId="0" borderId="18" xfId="0" applyNumberFormat="1" applyFont="1" applyBorder="1"/>
    <xf numFmtId="44" fontId="46" fillId="27" borderId="12" xfId="0" applyNumberFormat="1" applyFont="1" applyFill="1" applyBorder="1" applyAlignment="1" applyProtection="1">
      <protection locked="0"/>
    </xf>
    <xf numFmtId="0" fontId="35" fillId="20" borderId="51" xfId="276" applyFont="1" applyFill="1" applyBorder="1" applyAlignment="1" applyProtection="1">
      <alignment horizontal="center" vertical="center" wrapText="1"/>
    </xf>
    <xf numFmtId="164" fontId="44" fillId="20" borderId="51" xfId="0" applyNumberFormat="1" applyFont="1" applyFill="1" applyBorder="1" applyAlignment="1" applyProtection="1">
      <alignment horizontal="center" vertical="center" wrapText="1"/>
    </xf>
    <xf numFmtId="0" fontId="44" fillId="29" borderId="51" xfId="0" applyFont="1" applyFill="1" applyBorder="1" applyAlignment="1" applyProtection="1">
      <alignment horizontal="center" vertical="center" wrapText="1"/>
    </xf>
    <xf numFmtId="164" fontId="44" fillId="29" borderId="51" xfId="0" applyNumberFormat="1" applyFont="1" applyFill="1" applyBorder="1" applyAlignment="1" applyProtection="1">
      <alignment horizontal="center" vertical="center" wrapText="1"/>
    </xf>
    <xf numFmtId="0" fontId="35" fillId="20" borderId="30" xfId="276" applyFont="1" applyFill="1" applyBorder="1" applyAlignment="1" applyProtection="1">
      <alignment horizontal="center" vertical="center" wrapText="1"/>
    </xf>
    <xf numFmtId="0" fontId="28" fillId="20" borderId="51" xfId="276" applyFont="1" applyFill="1" applyBorder="1" applyAlignment="1" applyProtection="1">
      <alignment horizontal="center" vertical="center" wrapText="1"/>
    </xf>
    <xf numFmtId="0" fontId="47" fillId="0" borderId="18" xfId="276" applyFont="1" applyBorder="1" applyAlignment="1" applyProtection="1">
      <alignment horizontal="center" vertical="center" wrapText="1"/>
    </xf>
    <xf numFmtId="0" fontId="1" fillId="26" borderId="41" xfId="276" applyFont="1" applyFill="1" applyBorder="1" applyAlignment="1" applyProtection="1">
      <alignment vertical="center" wrapText="1"/>
    </xf>
    <xf numFmtId="9" fontId="0" fillId="0" borderId="0" xfId="306" applyFont="1"/>
    <xf numFmtId="9" fontId="1" fillId="0" borderId="18" xfId="314" applyFont="1" applyFill="1" applyBorder="1" applyAlignment="1">
      <alignment horizontal="center"/>
    </xf>
    <xf numFmtId="0" fontId="2" fillId="0" borderId="18" xfId="275" applyFont="1" applyFill="1" applyBorder="1" applyAlignment="1">
      <alignment horizontal="center"/>
    </xf>
    <xf numFmtId="0" fontId="1" fillId="32" borderId="31" xfId="0" applyFont="1" applyFill="1" applyBorder="1"/>
    <xf numFmtId="0" fontId="1" fillId="0" borderId="31" xfId="0" applyFont="1" applyBorder="1"/>
    <xf numFmtId="166" fontId="0" fillId="0" borderId="18" xfId="0" applyNumberFormat="1" applyBorder="1"/>
    <xf numFmtId="3" fontId="47" fillId="0" borderId="34" xfId="276" applyNumberFormat="1" applyFont="1" applyFill="1" applyBorder="1" applyAlignment="1" applyProtection="1">
      <alignment vertical="center" wrapText="1"/>
    </xf>
    <xf numFmtId="44" fontId="2" fillId="19" borderId="0" xfId="337" applyFont="1" applyFill="1" applyProtection="1"/>
    <xf numFmtId="172" fontId="2" fillId="23" borderId="17" xfId="276" applyNumberFormat="1" applyFill="1" applyBorder="1" applyAlignment="1" applyProtection="1">
      <alignment horizontal="right" indent="1"/>
    </xf>
    <xf numFmtId="172" fontId="2" fillId="23" borderId="28" xfId="276" applyNumberFormat="1" applyFill="1" applyBorder="1" applyAlignment="1" applyProtection="1">
      <alignment horizontal="right" indent="1"/>
    </xf>
    <xf numFmtId="172" fontId="35" fillId="21" borderId="30" xfId="276" applyNumberFormat="1" applyFont="1" applyFill="1" applyBorder="1" applyAlignment="1" applyProtection="1">
      <alignment horizontal="center" vertical="center" wrapText="1"/>
    </xf>
    <xf numFmtId="172" fontId="0" fillId="0" borderId="18" xfId="337" applyNumberFormat="1" applyFont="1" applyBorder="1"/>
    <xf numFmtId="172" fontId="3" fillId="0" borderId="18" xfId="0" applyNumberFormat="1" applyFont="1" applyBorder="1"/>
    <xf numFmtId="172" fontId="3" fillId="0" borderId="0" xfId="0" applyNumberFormat="1" applyFont="1"/>
    <xf numFmtId="3" fontId="47" fillId="0" borderId="36" xfId="276" applyNumberFormat="1" applyFont="1" applyFill="1" applyBorder="1" applyAlignment="1" applyProtection="1">
      <alignment vertical="center" wrapText="1"/>
    </xf>
    <xf numFmtId="3" fontId="48" fillId="21" borderId="45" xfId="276" applyNumberFormat="1" applyFont="1" applyFill="1" applyBorder="1" applyAlignment="1" applyProtection="1">
      <alignment horizontal="center" vertical="center"/>
    </xf>
    <xf numFmtId="0" fontId="47" fillId="0" borderId="34" xfId="276" applyFont="1" applyBorder="1" applyAlignment="1" applyProtection="1">
      <alignment horizontal="center" vertical="center" wrapText="1"/>
    </xf>
    <xf numFmtId="44" fontId="26" fillId="35" borderId="12" xfId="337" applyFont="1" applyFill="1" applyBorder="1" applyAlignment="1" applyProtection="1">
      <alignment horizontal="center" vertical="center"/>
    </xf>
    <xf numFmtId="3" fontId="47" fillId="0" borderId="19" xfId="276" applyNumberFormat="1" applyFont="1" applyFill="1" applyBorder="1" applyAlignment="1" applyProtection="1">
      <alignment horizontal="center" vertical="center" wrapText="1"/>
    </xf>
    <xf numFmtId="172" fontId="48" fillId="21" borderId="19" xfId="276" applyNumberFormat="1" applyFont="1" applyFill="1" applyBorder="1" applyAlignment="1" applyProtection="1">
      <alignment horizontal="center" vertical="center"/>
    </xf>
    <xf numFmtId="0" fontId="1" fillId="26" borderId="55" xfId="276" applyFont="1" applyFill="1" applyBorder="1" applyAlignment="1" applyProtection="1">
      <alignment vertical="center" wrapText="1"/>
    </xf>
    <xf numFmtId="0" fontId="2" fillId="23" borderId="26" xfId="276" applyFont="1" applyFill="1" applyBorder="1" applyProtection="1"/>
    <xf numFmtId="164" fontId="2" fillId="23" borderId="31" xfId="276" applyNumberFormat="1" applyFill="1" applyBorder="1" applyAlignment="1" applyProtection="1">
      <alignment horizontal="right" indent="1"/>
    </xf>
    <xf numFmtId="3" fontId="48" fillId="21" borderId="19" xfId="276" applyNumberFormat="1" applyFont="1" applyFill="1" applyBorder="1" applyAlignment="1" applyProtection="1">
      <alignment horizontal="center" vertical="center"/>
    </xf>
    <xf numFmtId="0" fontId="47" fillId="0" borderId="19" xfId="276" applyFont="1" applyFill="1" applyBorder="1" applyAlignment="1" applyProtection="1">
      <alignment horizontal="center" vertical="center" wrapText="1"/>
    </xf>
    <xf numFmtId="1" fontId="3" fillId="0" borderId="19" xfId="276" applyNumberFormat="1" applyFont="1" applyFill="1" applyBorder="1" applyAlignment="1" applyProtection="1">
      <alignment horizontal="center" vertical="center"/>
    </xf>
    <xf numFmtId="0" fontId="2" fillId="23" borderId="56" xfId="276" applyFont="1" applyFill="1" applyBorder="1" applyProtection="1"/>
    <xf numFmtId="0" fontId="29" fillId="23" borderId="28" xfId="276" applyFont="1" applyFill="1" applyBorder="1" applyAlignment="1" applyProtection="1">
      <alignment horizontal="center" vertical="center" wrapText="1"/>
    </xf>
    <xf numFmtId="164" fontId="2" fillId="23" borderId="28" xfId="276" applyNumberFormat="1" applyFill="1" applyBorder="1" applyAlignment="1" applyProtection="1">
      <alignment horizontal="right" indent="1"/>
    </xf>
    <xf numFmtId="164" fontId="2" fillId="23" borderId="44" xfId="276" applyNumberFormat="1" applyFill="1" applyBorder="1" applyAlignment="1" applyProtection="1">
      <alignment horizontal="right" indent="1"/>
    </xf>
    <xf numFmtId="0" fontId="1" fillId="26" borderId="43" xfId="276" applyFont="1" applyFill="1" applyBorder="1" applyAlignment="1" applyProtection="1">
      <alignment vertical="center" wrapText="1"/>
    </xf>
    <xf numFmtId="164" fontId="29" fillId="23" borderId="28" xfId="276" applyNumberFormat="1" applyFont="1" applyFill="1" applyBorder="1" applyAlignment="1" applyProtection="1">
      <alignment horizontal="center"/>
    </xf>
    <xf numFmtId="9" fontId="0" fillId="0" borderId="0" xfId="0" applyNumberFormat="1"/>
    <xf numFmtId="166" fontId="0" fillId="0" borderId="0" xfId="0" applyNumberFormat="1"/>
    <xf numFmtId="43" fontId="0" fillId="0" borderId="0" xfId="190" applyFont="1"/>
    <xf numFmtId="43" fontId="0" fillId="0" borderId="0" xfId="0" applyNumberFormat="1"/>
    <xf numFmtId="164" fontId="0" fillId="28" borderId="18" xfId="190" applyNumberFormat="1" applyFont="1" applyFill="1" applyBorder="1"/>
    <xf numFmtId="0" fontId="3" fillId="0" borderId="45" xfId="0" applyFont="1" applyFill="1" applyBorder="1" applyAlignment="1">
      <alignment wrapText="1"/>
    </xf>
    <xf numFmtId="2" fontId="0" fillId="0" borderId="0" xfId="0" applyNumberFormat="1"/>
    <xf numFmtId="0" fontId="3" fillId="26" borderId="18" xfId="0" applyFont="1" applyFill="1" applyBorder="1" applyAlignment="1">
      <alignment horizontal="center"/>
    </xf>
    <xf numFmtId="0" fontId="3" fillId="26" borderId="26" xfId="0" applyFont="1" applyFill="1" applyBorder="1" applyAlignment="1">
      <alignment horizontal="center"/>
    </xf>
    <xf numFmtId="165" fontId="0" fillId="0" borderId="18" xfId="190" applyNumberFormat="1" applyFont="1" applyFill="1" applyBorder="1" applyAlignment="1">
      <alignment horizontal="center" vertical="center"/>
    </xf>
    <xf numFmtId="8" fontId="1" fillId="0" borderId="0" xfId="0" applyNumberFormat="1" applyFont="1" applyBorder="1"/>
    <xf numFmtId="0" fontId="35" fillId="36" borderId="15" xfId="276" applyFont="1" applyFill="1" applyBorder="1" applyAlignment="1" applyProtection="1">
      <alignment horizontal="center" vertical="center" wrapText="1"/>
    </xf>
    <xf numFmtId="172" fontId="48" fillId="0" borderId="18" xfId="190" applyNumberFormat="1" applyFont="1" applyFill="1" applyBorder="1" applyAlignment="1" applyProtection="1">
      <alignment horizontal="center" vertical="center"/>
    </xf>
    <xf numFmtId="172" fontId="48" fillId="0" borderId="18" xfId="276" applyNumberFormat="1" applyFont="1" applyFill="1" applyBorder="1" applyAlignment="1" applyProtection="1">
      <alignment horizontal="center" vertical="center"/>
    </xf>
    <xf numFmtId="172" fontId="48" fillId="0" borderId="27" xfId="190" applyNumberFormat="1" applyFont="1" applyFill="1" applyBorder="1" applyAlignment="1" applyProtection="1">
      <alignment horizontal="center" vertical="center"/>
    </xf>
    <xf numFmtId="172" fontId="48" fillId="0" borderId="19" xfId="190" applyNumberFormat="1" applyFont="1" applyFill="1" applyBorder="1" applyAlignment="1" applyProtection="1">
      <alignment horizontal="center" vertical="center"/>
    </xf>
    <xf numFmtId="172" fontId="48" fillId="0" borderId="19" xfId="276" applyNumberFormat="1" applyFont="1" applyFill="1" applyBorder="1" applyAlignment="1" applyProtection="1">
      <alignment horizontal="center" vertical="center"/>
    </xf>
    <xf numFmtId="172" fontId="48" fillId="0" borderId="39" xfId="276" applyNumberFormat="1" applyFont="1" applyFill="1" applyBorder="1" applyAlignment="1" applyProtection="1">
      <alignment horizontal="center" vertical="center"/>
    </xf>
    <xf numFmtId="6" fontId="3" fillId="27" borderId="18" xfId="0" applyNumberFormat="1" applyFont="1" applyFill="1" applyBorder="1"/>
    <xf numFmtId="164" fontId="3" fillId="27" borderId="18" xfId="0" applyNumberFormat="1" applyFont="1" applyFill="1" applyBorder="1"/>
    <xf numFmtId="44" fontId="3" fillId="27" borderId="18" xfId="337" applyFont="1" applyFill="1" applyBorder="1"/>
    <xf numFmtId="172" fontId="0" fillId="27" borderId="18" xfId="0" applyNumberFormat="1" applyFill="1" applyBorder="1"/>
    <xf numFmtId="6" fontId="3" fillId="27" borderId="18" xfId="0" applyNumberFormat="1" applyFont="1" applyFill="1" applyBorder="1" applyAlignment="1">
      <alignment wrapText="1"/>
    </xf>
    <xf numFmtId="171" fontId="3" fillId="0" borderId="26" xfId="0" applyNumberFormat="1" applyFont="1" applyBorder="1"/>
    <xf numFmtId="8" fontId="3" fillId="0" borderId="18" xfId="0" applyNumberFormat="1" applyFont="1" applyBorder="1"/>
    <xf numFmtId="8" fontId="3" fillId="27" borderId="18" xfId="0" applyNumberFormat="1" applyFont="1" applyFill="1" applyBorder="1"/>
    <xf numFmtId="0" fontId="1" fillId="26" borderId="18" xfId="0" applyFont="1" applyFill="1" applyBorder="1" applyAlignment="1">
      <alignment wrapText="1"/>
    </xf>
    <xf numFmtId="0" fontId="3" fillId="26" borderId="18" xfId="0" applyFont="1" applyFill="1" applyBorder="1" applyAlignment="1">
      <alignment horizontal="center" vertical="center" wrapText="1"/>
    </xf>
    <xf numFmtId="0" fontId="3" fillId="26" borderId="18" xfId="0" applyFont="1" applyFill="1" applyBorder="1" applyAlignment="1"/>
    <xf numFmtId="0" fontId="3" fillId="26" borderId="18" xfId="0" applyFont="1" applyFill="1" applyBorder="1" applyAlignment="1">
      <alignment horizontal="center" wrapText="1"/>
    </xf>
    <xf numFmtId="0" fontId="3" fillId="26" borderId="31" xfId="0" applyFont="1" applyFill="1" applyBorder="1"/>
    <xf numFmtId="0" fontId="3" fillId="26" borderId="18" xfId="0" applyFont="1" applyFill="1" applyBorder="1" applyAlignment="1">
      <alignment wrapText="1"/>
    </xf>
    <xf numFmtId="0" fontId="3" fillId="26" borderId="26" xfId="0" applyFont="1" applyFill="1" applyBorder="1"/>
    <xf numFmtId="9" fontId="0" fillId="37" borderId="18" xfId="0" applyNumberFormat="1" applyFill="1" applyBorder="1"/>
    <xf numFmtId="0" fontId="29" fillId="27" borderId="26" xfId="0" applyFont="1" applyFill="1" applyBorder="1" applyAlignment="1"/>
    <xf numFmtId="0" fontId="29" fillId="27" borderId="17" xfId="0" applyFont="1" applyFill="1" applyBorder="1" applyAlignment="1"/>
    <xf numFmtId="0" fontId="1" fillId="26" borderId="42" xfId="276" applyFont="1" applyFill="1" applyBorder="1" applyAlignment="1" applyProtection="1">
      <alignment vertical="center" wrapText="1"/>
    </xf>
    <xf numFmtId="0" fontId="47" fillId="25" borderId="18" xfId="276" applyFont="1" applyFill="1" applyBorder="1" applyAlignment="1" applyProtection="1">
      <alignment horizontal="center" vertical="center" wrapText="1"/>
    </xf>
    <xf numFmtId="1" fontId="3" fillId="0" borderId="18" xfId="276" applyNumberFormat="1" applyFont="1" applyFill="1" applyBorder="1" applyAlignment="1" applyProtection="1">
      <alignment horizontal="center" vertical="center"/>
    </xf>
    <xf numFmtId="172" fontId="48" fillId="21" borderId="18" xfId="276" applyNumberFormat="1" applyFont="1" applyFill="1" applyBorder="1" applyAlignment="1" applyProtection="1">
      <alignment horizontal="center" vertical="center"/>
    </xf>
    <xf numFmtId="3" fontId="47" fillId="27" borderId="18" xfId="276" applyNumberFormat="1" applyFont="1" applyFill="1" applyBorder="1" applyAlignment="1" applyProtection="1">
      <alignment horizontal="center" vertical="center" wrapText="1"/>
      <protection locked="0"/>
    </xf>
    <xf numFmtId="3" fontId="47" fillId="0" borderId="18" xfId="276" applyNumberFormat="1" applyFont="1" applyFill="1" applyBorder="1" applyAlignment="1" applyProtection="1">
      <alignment horizontal="center" vertical="center" wrapText="1"/>
    </xf>
    <xf numFmtId="164" fontId="3" fillId="25" borderId="18" xfId="0" applyNumberFormat="1" applyFont="1" applyFill="1" applyBorder="1" applyAlignment="1" applyProtection="1">
      <alignment horizontal="center" vertical="center" wrapText="1"/>
    </xf>
    <xf numFmtId="9" fontId="0" fillId="37" borderId="18" xfId="0" applyNumberFormat="1" applyFill="1" applyBorder="1" applyAlignment="1" applyProtection="1">
      <alignment horizontal="center"/>
      <protection locked="0"/>
    </xf>
    <xf numFmtId="9" fontId="0" fillId="37" borderId="18" xfId="306" applyFont="1" applyFill="1" applyBorder="1" applyAlignment="1" applyProtection="1">
      <alignment horizontal="center"/>
      <protection locked="0"/>
    </xf>
    <xf numFmtId="172" fontId="48" fillId="21" borderId="18" xfId="276" applyNumberFormat="1" applyFont="1" applyFill="1" applyBorder="1" applyAlignment="1" applyProtection="1">
      <alignment horizontal="center" vertical="center"/>
    </xf>
    <xf numFmtId="0" fontId="1" fillId="19" borderId="0" xfId="276" applyFont="1" applyFill="1" applyProtection="1"/>
    <xf numFmtId="0" fontId="50" fillId="22" borderId="20" xfId="276" applyFont="1" applyFill="1" applyBorder="1" applyAlignment="1" applyProtection="1">
      <alignment horizontal="left" vertical="center" wrapText="1"/>
    </xf>
    <xf numFmtId="0" fontId="50" fillId="22" borderId="0" xfId="276" applyFont="1" applyFill="1" applyBorder="1" applyAlignment="1" applyProtection="1">
      <alignment horizontal="left" vertical="center" wrapText="1"/>
    </xf>
    <xf numFmtId="0" fontId="40" fillId="22" borderId="0" xfId="276" applyFont="1" applyFill="1" applyBorder="1" applyAlignment="1" applyProtection="1">
      <alignment horizontal="left" vertical="center" wrapText="1"/>
    </xf>
    <xf numFmtId="0" fontId="40" fillId="22" borderId="0" xfId="276" applyFont="1" applyFill="1" applyBorder="1" applyAlignment="1" applyProtection="1">
      <alignment horizontal="center" vertical="center" wrapText="1"/>
    </xf>
    <xf numFmtId="172" fontId="40" fillId="22" borderId="0" xfId="276" applyNumberFormat="1" applyFont="1" applyFill="1" applyBorder="1" applyAlignment="1" applyProtection="1">
      <alignment horizontal="left" vertical="center" wrapText="1"/>
    </xf>
    <xf numFmtId="0" fontId="50" fillId="22" borderId="29" xfId="276" applyFont="1" applyFill="1" applyBorder="1" applyAlignment="1" applyProtection="1">
      <alignment horizontal="left" vertical="center" wrapText="1"/>
    </xf>
    <xf numFmtId="0" fontId="50" fillId="22" borderId="11" xfId="276" applyFont="1" applyFill="1" applyBorder="1" applyAlignment="1" applyProtection="1">
      <alignment horizontal="left" vertical="center" wrapText="1"/>
    </xf>
    <xf numFmtId="0" fontId="40" fillId="22" borderId="11" xfId="276" applyFont="1" applyFill="1" applyBorder="1" applyAlignment="1" applyProtection="1">
      <alignment horizontal="left" vertical="center" wrapText="1"/>
    </xf>
    <xf numFmtId="0" fontId="40" fillId="22" borderId="11" xfId="276" applyFont="1" applyFill="1" applyBorder="1" applyAlignment="1" applyProtection="1">
      <alignment horizontal="center" vertical="center" wrapText="1"/>
    </xf>
    <xf numFmtId="172" fontId="40" fillId="22" borderId="11" xfId="276" applyNumberFormat="1" applyFont="1" applyFill="1" applyBorder="1" applyAlignment="1" applyProtection="1">
      <alignment horizontal="left" vertical="center" wrapText="1"/>
    </xf>
    <xf numFmtId="0" fontId="26" fillId="0" borderId="18" xfId="276" applyFont="1" applyBorder="1" applyAlignment="1" applyProtection="1">
      <alignment vertical="center" wrapText="1"/>
    </xf>
    <xf numFmtId="0" fontId="3" fillId="27" borderId="18" xfId="276" applyFont="1" applyFill="1" applyBorder="1" applyAlignment="1" applyProtection="1">
      <alignment horizontal="center" vertical="center" wrapText="1"/>
      <protection locked="0"/>
    </xf>
    <xf numFmtId="0" fontId="47" fillId="27" borderId="18" xfId="276" applyFont="1" applyFill="1" applyBorder="1" applyAlignment="1" applyProtection="1">
      <alignment horizontal="center" vertical="center" wrapText="1"/>
      <protection locked="0"/>
    </xf>
    <xf numFmtId="167" fontId="47" fillId="27" borderId="18" xfId="276" applyNumberFormat="1" applyFont="1" applyFill="1" applyBorder="1" applyAlignment="1" applyProtection="1">
      <alignment horizontal="center" vertical="center" wrapText="1"/>
      <protection locked="0"/>
    </xf>
    <xf numFmtId="166" fontId="47" fillId="0" borderId="18" xfId="276" applyNumberFormat="1" applyFont="1" applyFill="1" applyBorder="1" applyAlignment="1" applyProtection="1">
      <alignment horizontal="center" vertical="center" wrapText="1"/>
      <protection locked="0"/>
    </xf>
    <xf numFmtId="0" fontId="47" fillId="25" borderId="18" xfId="276" applyFont="1" applyFill="1" applyBorder="1" applyAlignment="1" applyProtection="1">
      <alignment horizontal="center" vertical="center" wrapText="1"/>
      <protection locked="0"/>
    </xf>
    <xf numFmtId="164" fontId="3" fillId="0" borderId="18" xfId="0" applyNumberFormat="1" applyFont="1" applyFill="1" applyBorder="1" applyAlignment="1" applyProtection="1">
      <alignment horizontal="center" vertical="center" wrapText="1"/>
    </xf>
    <xf numFmtId="166" fontId="47" fillId="27" borderId="18" xfId="276" applyNumberFormat="1" applyFont="1" applyFill="1" applyBorder="1" applyAlignment="1" applyProtection="1">
      <alignment horizontal="center" vertical="center" wrapText="1"/>
      <protection locked="0"/>
    </xf>
    <xf numFmtId="166" fontId="47" fillId="25" borderId="18" xfId="190" applyNumberFormat="1" applyFont="1" applyFill="1" applyBorder="1" applyAlignment="1" applyProtection="1">
      <alignment horizontal="center" vertical="center" wrapText="1"/>
      <protection locked="0"/>
    </xf>
    <xf numFmtId="0" fontId="47" fillId="27" borderId="18" xfId="306" applyNumberFormat="1" applyFont="1" applyFill="1" applyBorder="1" applyAlignment="1" applyProtection="1">
      <alignment horizontal="center" vertical="center" wrapText="1"/>
      <protection locked="0"/>
    </xf>
    <xf numFmtId="3" fontId="3" fillId="27" borderId="18" xfId="276" applyNumberFormat="1" applyFont="1" applyFill="1" applyBorder="1" applyAlignment="1" applyProtection="1">
      <alignment horizontal="center" vertical="center" wrapText="1"/>
      <protection locked="0"/>
    </xf>
    <xf numFmtId="44" fontId="48" fillId="0" borderId="18" xfId="337" applyFont="1" applyFill="1" applyBorder="1" applyAlignment="1" applyProtection="1">
      <alignment horizontal="center" vertical="center"/>
    </xf>
    <xf numFmtId="0" fontId="49" fillId="0" borderId="18" xfId="276" applyFont="1" applyBorder="1" applyAlignment="1" applyProtection="1">
      <alignment horizontal="left" vertical="center" wrapText="1"/>
    </xf>
    <xf numFmtId="9" fontId="47" fillId="27" borderId="18" xfId="306" applyFont="1" applyFill="1" applyBorder="1" applyAlignment="1" applyProtection="1">
      <alignment horizontal="center" vertical="center" wrapText="1"/>
      <protection locked="0"/>
    </xf>
    <xf numFmtId="9" fontId="47" fillId="0" borderId="18" xfId="306" applyFont="1" applyFill="1" applyBorder="1" applyAlignment="1" applyProtection="1">
      <alignment horizontal="center" vertical="center" wrapText="1"/>
    </xf>
    <xf numFmtId="0" fontId="49" fillId="0" borderId="18" xfId="276" applyFont="1" applyFill="1" applyBorder="1" applyAlignment="1" applyProtection="1">
      <alignment horizontal="left" vertical="center" wrapText="1"/>
    </xf>
    <xf numFmtId="3" fontId="47" fillId="0" borderId="18" xfId="276" applyNumberFormat="1" applyFont="1" applyBorder="1" applyAlignment="1" applyProtection="1">
      <alignment horizontal="center" vertical="center" wrapText="1"/>
    </xf>
    <xf numFmtId="9" fontId="47" fillId="25" borderId="18" xfId="306" applyFont="1" applyFill="1" applyBorder="1" applyAlignment="1" applyProtection="1">
      <alignment horizontal="center" vertical="center" wrapText="1"/>
      <protection locked="0"/>
    </xf>
    <xf numFmtId="167" fontId="48" fillId="21" borderId="18" xfId="276" applyNumberFormat="1" applyFont="1" applyFill="1" applyBorder="1" applyAlignment="1" applyProtection="1">
      <alignment horizontal="center" vertical="center"/>
    </xf>
    <xf numFmtId="1" fontId="47" fillId="0" borderId="18" xfId="276" applyNumberFormat="1" applyFont="1" applyFill="1" applyBorder="1" applyAlignment="1" applyProtection="1">
      <alignment horizontal="center" vertical="center" wrapText="1"/>
    </xf>
    <xf numFmtId="1" fontId="3" fillId="0" borderId="18" xfId="276" applyNumberFormat="1" applyFont="1" applyFill="1" applyBorder="1" applyAlignment="1" applyProtection="1">
      <alignment horizontal="center" vertical="center"/>
      <protection locked="0"/>
    </xf>
    <xf numFmtId="1" fontId="47" fillId="25" borderId="18" xfId="276" applyNumberFormat="1" applyFont="1" applyFill="1" applyBorder="1" applyAlignment="1" applyProtection="1">
      <alignment horizontal="center" vertical="center" wrapText="1"/>
    </xf>
    <xf numFmtId="3" fontId="3" fillId="0" borderId="18" xfId="276" applyNumberFormat="1" applyFont="1" applyFill="1" applyBorder="1" applyAlignment="1" applyProtection="1">
      <alignment horizontal="center" vertical="center"/>
    </xf>
    <xf numFmtId="0" fontId="40" fillId="22" borderId="30" xfId="276" applyFont="1" applyFill="1" applyBorder="1" applyAlignment="1" applyProtection="1">
      <alignment horizontal="left" vertical="center" wrapText="1"/>
    </xf>
    <xf numFmtId="0" fontId="49" fillId="0" borderId="19" xfId="276" applyFont="1" applyFill="1" applyBorder="1" applyAlignment="1" applyProtection="1">
      <alignment horizontal="left" vertical="center" wrapText="1"/>
    </xf>
    <xf numFmtId="0" fontId="3" fillId="27" borderId="19" xfId="276" applyFont="1" applyFill="1" applyBorder="1" applyAlignment="1" applyProtection="1">
      <alignment horizontal="center" vertical="center" wrapText="1"/>
      <protection locked="0"/>
    </xf>
    <xf numFmtId="167" fontId="47" fillId="27" borderId="19" xfId="276" applyNumberFormat="1" applyFont="1" applyFill="1" applyBorder="1" applyAlignment="1" applyProtection="1">
      <alignment horizontal="center" vertical="center" wrapText="1"/>
      <protection locked="0"/>
    </xf>
    <xf numFmtId="3" fontId="47" fillId="0" borderId="19" xfId="276" applyNumberFormat="1" applyFont="1" applyBorder="1" applyAlignment="1" applyProtection="1">
      <alignment horizontal="center" vertical="center" wrapText="1"/>
    </xf>
    <xf numFmtId="0" fontId="47" fillId="0" borderId="19" xfId="276" applyFont="1" applyBorder="1" applyAlignment="1" applyProtection="1">
      <alignment horizontal="center" vertical="center" wrapText="1"/>
    </xf>
    <xf numFmtId="9" fontId="47" fillId="27" borderId="19" xfId="306" applyFont="1" applyFill="1" applyBorder="1" applyAlignment="1" applyProtection="1">
      <alignment horizontal="center" vertical="center" wrapText="1"/>
      <protection locked="0"/>
    </xf>
    <xf numFmtId="0" fontId="47" fillId="25" borderId="19" xfId="276" applyFont="1" applyFill="1" applyBorder="1" applyAlignment="1" applyProtection="1">
      <alignment horizontal="center" vertical="center" wrapText="1"/>
      <protection locked="0"/>
    </xf>
    <xf numFmtId="44" fontId="48" fillId="0" borderId="19" xfId="337" applyFont="1" applyFill="1" applyBorder="1" applyAlignment="1" applyProtection="1">
      <alignment horizontal="center" vertical="center"/>
    </xf>
    <xf numFmtId="164" fontId="44" fillId="20" borderId="18" xfId="0" applyNumberFormat="1" applyFont="1" applyFill="1" applyBorder="1" applyAlignment="1" applyProtection="1">
      <alignment horizontal="center" vertical="center" wrapText="1"/>
    </xf>
    <xf numFmtId="0" fontId="35" fillId="20" borderId="26" xfId="276" applyFont="1" applyFill="1" applyBorder="1" applyAlignment="1" applyProtection="1">
      <alignment horizontal="center" vertical="center" wrapText="1"/>
    </xf>
    <xf numFmtId="164" fontId="44" fillId="20" borderId="17" xfId="0" applyNumberFormat="1" applyFont="1" applyFill="1" applyBorder="1" applyAlignment="1" applyProtection="1">
      <alignment horizontal="center" vertical="center" wrapText="1"/>
    </xf>
    <xf numFmtId="0" fontId="35" fillId="20" borderId="17" xfId="276" applyFont="1" applyFill="1" applyBorder="1" applyAlignment="1" applyProtection="1">
      <alignment horizontal="center" vertical="center" wrapText="1"/>
    </xf>
    <xf numFmtId="0" fontId="44" fillId="29" borderId="17" xfId="0" applyFont="1" applyFill="1" applyBorder="1" applyAlignment="1" applyProtection="1">
      <alignment horizontal="center" vertical="center" wrapText="1"/>
    </xf>
    <xf numFmtId="164" fontId="44" fillId="29" borderId="17" xfId="0" applyNumberFormat="1" applyFont="1" applyFill="1" applyBorder="1" applyAlignment="1" applyProtection="1">
      <alignment horizontal="center" vertical="center" wrapText="1"/>
    </xf>
    <xf numFmtId="172" fontId="35" fillId="20" borderId="17" xfId="276" applyNumberFormat="1" applyFont="1" applyFill="1" applyBorder="1" applyAlignment="1" applyProtection="1">
      <alignment horizontal="center" vertical="center" wrapText="1"/>
    </xf>
    <xf numFmtId="0" fontId="28" fillId="20" borderId="31" xfId="276" applyFont="1" applyFill="1" applyBorder="1" applyAlignment="1" applyProtection="1">
      <alignment horizontal="center" vertical="center" wrapText="1"/>
    </xf>
    <xf numFmtId="0" fontId="40" fillId="22" borderId="46" xfId="276" applyFont="1" applyFill="1" applyBorder="1" applyAlignment="1" applyProtection="1">
      <alignment horizontal="left" vertical="center" wrapText="1"/>
    </xf>
    <xf numFmtId="164" fontId="1" fillId="26" borderId="18" xfId="276" applyNumberFormat="1" applyFont="1" applyFill="1" applyBorder="1" applyAlignment="1" applyProtection="1">
      <alignment horizontal="left" vertical="center" wrapText="1"/>
    </xf>
    <xf numFmtId="1" fontId="3" fillId="0" borderId="18" xfId="276" applyNumberFormat="1" applyFont="1" applyFill="1" applyBorder="1" applyAlignment="1" applyProtection="1">
      <alignment horizontal="center" vertical="center"/>
    </xf>
    <xf numFmtId="164" fontId="3" fillId="25" borderId="18" xfId="0" applyNumberFormat="1" applyFont="1" applyFill="1" applyBorder="1" applyAlignment="1" applyProtection="1">
      <alignment horizontal="center" vertical="center" wrapText="1"/>
    </xf>
    <xf numFmtId="164" fontId="31" fillId="0" borderId="0" xfId="0" applyNumberFormat="1" applyFont="1" applyBorder="1" applyAlignment="1" applyProtection="1">
      <alignment horizontal="right" vertical="center" wrapText="1"/>
    </xf>
    <xf numFmtId="164" fontId="3" fillId="25" borderId="18" xfId="0" applyNumberFormat="1" applyFont="1" applyFill="1" applyBorder="1" applyAlignment="1" applyProtection="1">
      <alignment horizontal="center" vertical="center" wrapText="1"/>
    </xf>
    <xf numFmtId="172" fontId="48" fillId="21" borderId="18" xfId="276" applyNumberFormat="1" applyFont="1" applyFill="1" applyBorder="1" applyAlignment="1" applyProtection="1">
      <alignment horizontal="center" vertical="center"/>
    </xf>
    <xf numFmtId="3" fontId="47" fillId="0" borderId="0" xfId="276" applyNumberFormat="1" applyFont="1" applyFill="1" applyBorder="1" applyAlignment="1" applyProtection="1">
      <alignment horizontal="center" vertical="center" wrapText="1"/>
    </xf>
    <xf numFmtId="3" fontId="47" fillId="0" borderId="18" xfId="276" applyNumberFormat="1" applyFont="1" applyFill="1" applyBorder="1" applyAlignment="1" applyProtection="1">
      <alignment horizontal="center" vertical="center" wrapText="1"/>
    </xf>
    <xf numFmtId="6" fontId="0" fillId="0" borderId="0" xfId="0" applyNumberFormat="1"/>
    <xf numFmtId="6" fontId="1" fillId="0" borderId="0" xfId="0" applyNumberFormat="1" applyFont="1"/>
    <xf numFmtId="0" fontId="35" fillId="0" borderId="0" xfId="0" applyFont="1"/>
    <xf numFmtId="3" fontId="48" fillId="21" borderId="0" xfId="276" applyNumberFormat="1" applyFont="1" applyFill="1" applyBorder="1" applyAlignment="1" applyProtection="1">
      <alignment horizontal="center" vertical="center"/>
    </xf>
    <xf numFmtId="0" fontId="47" fillId="0" borderId="0" xfId="276" applyFont="1" applyBorder="1" applyAlignment="1" applyProtection="1">
      <alignment horizontal="center" vertical="center" wrapText="1"/>
    </xf>
    <xf numFmtId="164" fontId="44" fillId="0" borderId="22" xfId="0" applyNumberFormat="1" applyFont="1" applyFill="1" applyBorder="1" applyAlignment="1" applyProtection="1">
      <alignment horizontal="center" vertical="center" wrapText="1"/>
    </xf>
    <xf numFmtId="0" fontId="44" fillId="0" borderId="10" xfId="0" applyFont="1" applyFill="1" applyBorder="1" applyAlignment="1" applyProtection="1">
      <alignment horizontal="center" vertical="center" wrapText="1"/>
    </xf>
    <xf numFmtId="0" fontId="35" fillId="0" borderId="11" xfId="276" applyFont="1" applyFill="1" applyBorder="1" applyAlignment="1" applyProtection="1">
      <alignment horizontal="center" vertical="center" wrapText="1"/>
    </xf>
    <xf numFmtId="164" fontId="47" fillId="0" borderId="18" xfId="276" applyNumberFormat="1" applyFont="1" applyFill="1" applyBorder="1" applyAlignment="1" applyProtection="1">
      <alignment horizontal="center" vertical="center" wrapText="1"/>
    </xf>
    <xf numFmtId="0" fontId="26" fillId="0" borderId="0" xfId="276" applyFont="1" applyBorder="1" applyAlignment="1" applyProtection="1">
      <alignment vertical="center" wrapText="1"/>
    </xf>
    <xf numFmtId="0" fontId="47" fillId="0" borderId="0" xfId="276" applyFont="1" applyFill="1" applyBorder="1" applyAlignment="1" applyProtection="1">
      <alignment horizontal="center" vertical="center" wrapText="1"/>
    </xf>
    <xf numFmtId="0" fontId="47" fillId="25" borderId="0" xfId="276" applyFont="1" applyFill="1" applyBorder="1" applyAlignment="1" applyProtection="1">
      <alignment horizontal="center" vertical="center" wrapText="1"/>
      <protection locked="0"/>
    </xf>
    <xf numFmtId="164" fontId="3" fillId="25" borderId="0" xfId="0" applyNumberFormat="1" applyFont="1" applyFill="1" applyBorder="1" applyAlignment="1" applyProtection="1">
      <alignment horizontal="center" vertical="center" wrapText="1"/>
    </xf>
    <xf numFmtId="172" fontId="48" fillId="21" borderId="0" xfId="276" applyNumberFormat="1" applyFont="1" applyFill="1" applyBorder="1" applyAlignment="1" applyProtection="1">
      <alignment horizontal="center" vertical="center"/>
    </xf>
    <xf numFmtId="172" fontId="48" fillId="0" borderId="0" xfId="190" applyNumberFormat="1" applyFont="1" applyFill="1" applyBorder="1" applyAlignment="1" applyProtection="1">
      <alignment horizontal="center" vertical="center"/>
    </xf>
    <xf numFmtId="44" fontId="48" fillId="0" borderId="0" xfId="337" applyFont="1" applyFill="1" applyBorder="1" applyAlignment="1" applyProtection="1">
      <alignment horizontal="center" vertical="center"/>
    </xf>
    <xf numFmtId="172" fontId="48" fillId="0" borderId="0" xfId="276" applyNumberFormat="1" applyFont="1" applyFill="1" applyBorder="1" applyAlignment="1" applyProtection="1">
      <alignment horizontal="center" vertical="center"/>
    </xf>
    <xf numFmtId="0" fontId="2" fillId="26" borderId="42" xfId="276" applyFill="1" applyBorder="1" applyAlignment="1" applyProtection="1">
      <alignment vertical="center" wrapText="1"/>
    </xf>
    <xf numFmtId="0" fontId="27" fillId="0" borderId="20" xfId="276" applyFont="1" applyBorder="1" applyAlignment="1" applyProtection="1">
      <alignment horizontal="center" vertical="top" wrapText="1"/>
    </xf>
    <xf numFmtId="0" fontId="0" fillId="0" borderId="20" xfId="0" applyBorder="1" applyAlignment="1">
      <alignment horizontal="center" vertical="top" wrapText="1"/>
    </xf>
    <xf numFmtId="164" fontId="45" fillId="0" borderId="0" xfId="0" applyNumberFormat="1" applyFont="1" applyBorder="1" applyAlignment="1" applyProtection="1">
      <alignment horizontal="center" vertical="center" wrapText="1"/>
    </xf>
    <xf numFmtId="164" fontId="45" fillId="0" borderId="21" xfId="0" applyNumberFormat="1" applyFont="1" applyBorder="1" applyAlignment="1" applyProtection="1">
      <alignment horizontal="center" vertical="center" wrapText="1"/>
    </xf>
    <xf numFmtId="0" fontId="26" fillId="0" borderId="23" xfId="276" applyFont="1" applyBorder="1" applyAlignment="1" applyProtection="1">
      <alignment horizontal="center" vertical="center" wrapText="1"/>
    </xf>
    <xf numFmtId="0" fontId="26" fillId="0" borderId="54" xfId="276" applyFont="1" applyBorder="1" applyAlignment="1" applyProtection="1">
      <alignment horizontal="center" vertical="center" wrapText="1"/>
    </xf>
    <xf numFmtId="0" fontId="47" fillId="27" borderId="45" xfId="276" applyFont="1" applyFill="1" applyBorder="1" applyAlignment="1" applyProtection="1">
      <alignment horizontal="center" vertical="center" wrapText="1"/>
      <protection locked="0"/>
    </xf>
    <xf numFmtId="0" fontId="47" fillId="27" borderId="53" xfId="276" applyFont="1" applyFill="1" applyBorder="1" applyAlignment="1" applyProtection="1">
      <alignment horizontal="center" vertical="center" wrapText="1"/>
      <protection locked="0"/>
    </xf>
    <xf numFmtId="3" fontId="47" fillId="27" borderId="18" xfId="276" applyNumberFormat="1" applyFont="1" applyFill="1" applyBorder="1" applyAlignment="1" applyProtection="1">
      <alignment horizontal="center" vertical="center" wrapText="1"/>
      <protection locked="0"/>
    </xf>
    <xf numFmtId="3" fontId="47" fillId="27" borderId="45" xfId="276" applyNumberFormat="1" applyFont="1" applyFill="1" applyBorder="1" applyAlignment="1" applyProtection="1">
      <alignment horizontal="center" vertical="center" wrapText="1"/>
      <protection locked="0"/>
    </xf>
    <xf numFmtId="3" fontId="47" fillId="0" borderId="18" xfId="276" applyNumberFormat="1" applyFont="1" applyFill="1" applyBorder="1" applyAlignment="1" applyProtection="1">
      <alignment horizontal="center" vertical="center" wrapText="1"/>
    </xf>
    <xf numFmtId="3" fontId="47" fillId="0" borderId="39" xfId="276" applyNumberFormat="1" applyFont="1" applyFill="1" applyBorder="1" applyAlignment="1" applyProtection="1">
      <alignment horizontal="center" vertical="center" wrapText="1"/>
    </xf>
    <xf numFmtId="164" fontId="3" fillId="25" borderId="18" xfId="0" applyNumberFormat="1" applyFont="1" applyFill="1" applyBorder="1" applyAlignment="1" applyProtection="1">
      <alignment horizontal="center" vertical="center" wrapText="1"/>
    </xf>
    <xf numFmtId="164" fontId="3" fillId="25" borderId="39" xfId="0" applyNumberFormat="1" applyFont="1" applyFill="1" applyBorder="1" applyAlignment="1" applyProtection="1">
      <alignment horizontal="center" vertical="center" wrapText="1"/>
    </xf>
    <xf numFmtId="164" fontId="44" fillId="20" borderId="17" xfId="0" applyNumberFormat="1" applyFont="1" applyFill="1" applyBorder="1" applyAlignment="1" applyProtection="1">
      <alignment horizontal="center" vertical="center" wrapText="1"/>
    </xf>
    <xf numFmtId="164" fontId="31" fillId="0" borderId="0" xfId="0" applyNumberFormat="1" applyFont="1" applyBorder="1" applyAlignment="1" applyProtection="1">
      <alignment horizontal="center" vertical="center" wrapText="1"/>
    </xf>
    <xf numFmtId="164" fontId="31" fillId="0" borderId="21" xfId="0" applyNumberFormat="1" applyFont="1" applyBorder="1" applyAlignment="1" applyProtection="1">
      <alignment horizontal="center" vertical="center" wrapText="1"/>
    </xf>
    <xf numFmtId="14" fontId="57" fillId="0" borderId="0" xfId="276" applyNumberFormat="1" applyFont="1" applyAlignment="1" applyProtection="1">
      <alignment horizontal="center" wrapText="1"/>
    </xf>
    <xf numFmtId="0" fontId="56" fillId="0" borderId="0" xfId="0" applyFont="1" applyBorder="1" applyAlignment="1">
      <alignment horizontal="center" vertical="top" wrapText="1"/>
    </xf>
    <xf numFmtId="0" fontId="56" fillId="0" borderId="0" xfId="0" applyFont="1" applyAlignment="1"/>
    <xf numFmtId="0" fontId="39" fillId="0" borderId="15" xfId="0" applyFont="1" applyBorder="1" applyAlignment="1" applyProtection="1">
      <alignment vertical="top" wrapText="1"/>
    </xf>
    <xf numFmtId="0" fontId="39" fillId="0" borderId="14" xfId="0" applyFont="1" applyBorder="1" applyAlignment="1" applyProtection="1">
      <alignment vertical="top" wrapText="1"/>
    </xf>
    <xf numFmtId="0" fontId="39" fillId="0" borderId="13" xfId="0" applyFont="1" applyBorder="1" applyAlignment="1"/>
    <xf numFmtId="0" fontId="26" fillId="21" borderId="15" xfId="0" applyFont="1" applyFill="1" applyBorder="1" applyAlignment="1" applyProtection="1">
      <alignment horizontal="center" vertical="center" wrapText="1"/>
    </xf>
    <xf numFmtId="0" fontId="0" fillId="21" borderId="14" xfId="0" applyFill="1" applyBorder="1" applyAlignment="1" applyProtection="1">
      <alignment horizontal="center"/>
    </xf>
    <xf numFmtId="0" fontId="0" fillId="21" borderId="13" xfId="0" applyFill="1" applyBorder="1" applyAlignment="1" applyProtection="1">
      <alignment horizontal="center"/>
    </xf>
    <xf numFmtId="44" fontId="46" fillId="0" borderId="15" xfId="0" applyNumberFormat="1" applyFont="1" applyFill="1" applyBorder="1" applyAlignment="1" applyProtection="1">
      <alignment horizontal="right"/>
    </xf>
    <xf numFmtId="44" fontId="46" fillId="0" borderId="13" xfId="0" applyNumberFormat="1" applyFont="1" applyFill="1" applyBorder="1" applyAlignment="1" applyProtection="1">
      <alignment horizontal="right"/>
    </xf>
    <xf numFmtId="164" fontId="46" fillId="0" borderId="15" xfId="0" applyNumberFormat="1" applyFont="1" applyFill="1" applyBorder="1" applyAlignment="1" applyProtection="1">
      <alignment horizontal="right"/>
    </xf>
    <xf numFmtId="164" fontId="46" fillId="0" borderId="13" xfId="0" applyNumberFormat="1" applyFont="1" applyFill="1" applyBorder="1" applyAlignment="1" applyProtection="1">
      <alignment horizontal="right"/>
    </xf>
    <xf numFmtId="0" fontId="1" fillId="26" borderId="42" xfId="276" applyFont="1" applyFill="1" applyBorder="1" applyAlignment="1" applyProtection="1">
      <alignment vertical="center" wrapText="1"/>
    </xf>
    <xf numFmtId="0" fontId="1" fillId="26" borderId="42" xfId="0" applyFont="1" applyFill="1" applyBorder="1" applyAlignment="1">
      <alignment vertical="center" wrapText="1"/>
    </xf>
    <xf numFmtId="0" fontId="1" fillId="26" borderId="43" xfId="0" applyFont="1" applyFill="1" applyBorder="1" applyAlignment="1">
      <alignment vertical="center" wrapText="1"/>
    </xf>
    <xf numFmtId="0" fontId="0" fillId="24" borderId="15" xfId="0" applyFill="1" applyBorder="1" applyAlignment="1" applyProtection="1">
      <alignment horizontal="center" vertical="top" wrapText="1"/>
    </xf>
    <xf numFmtId="0" fontId="0" fillId="24" borderId="14" xfId="0" applyFill="1" applyBorder="1" applyAlignment="1" applyProtection="1">
      <alignment horizontal="center" vertical="top" wrapText="1"/>
    </xf>
    <xf numFmtId="0" fontId="0" fillId="24" borderId="13" xfId="0" applyFill="1" applyBorder="1" applyAlignment="1" applyProtection="1">
      <alignment horizontal="center" vertical="top" wrapText="1"/>
    </xf>
    <xf numFmtId="164" fontId="43" fillId="0" borderId="0" xfId="0" applyNumberFormat="1" applyFont="1" applyBorder="1" applyAlignment="1" applyProtection="1">
      <alignment horizontal="center" vertical="top" wrapText="1"/>
    </xf>
    <xf numFmtId="164" fontId="43" fillId="0" borderId="21" xfId="0" applyNumberFormat="1" applyFont="1" applyBorder="1" applyAlignment="1" applyProtection="1">
      <alignment horizontal="center" vertical="top" wrapText="1"/>
    </xf>
    <xf numFmtId="164" fontId="44" fillId="20" borderId="10" xfId="0" applyNumberFormat="1" applyFont="1" applyFill="1" applyBorder="1" applyAlignment="1" applyProtection="1">
      <alignment horizontal="center" vertical="center" wrapText="1"/>
    </xf>
    <xf numFmtId="164" fontId="44" fillId="20" borderId="22" xfId="0" applyNumberFormat="1" applyFont="1" applyFill="1" applyBorder="1" applyAlignment="1" applyProtection="1">
      <alignment horizontal="center" vertical="center" wrapText="1"/>
    </xf>
    <xf numFmtId="164" fontId="44" fillId="20" borderId="30" xfId="0" applyNumberFormat="1" applyFont="1" applyFill="1" applyBorder="1" applyAlignment="1" applyProtection="1">
      <alignment horizontal="center" vertical="center" wrapText="1"/>
    </xf>
    <xf numFmtId="0" fontId="47" fillId="25" borderId="18" xfId="276" applyFont="1" applyFill="1" applyBorder="1" applyAlignment="1" applyProtection="1">
      <alignment horizontal="center" vertical="center" wrapText="1"/>
    </xf>
    <xf numFmtId="0" fontId="47" fillId="25" borderId="39" xfId="276" applyFont="1" applyFill="1" applyBorder="1" applyAlignment="1" applyProtection="1">
      <alignment horizontal="center" vertical="center" wrapText="1"/>
    </xf>
    <xf numFmtId="1" fontId="3" fillId="0" borderId="18" xfId="276" applyNumberFormat="1" applyFont="1" applyFill="1" applyBorder="1" applyAlignment="1" applyProtection="1">
      <alignment horizontal="center" vertical="center"/>
    </xf>
    <xf numFmtId="1" fontId="3" fillId="0" borderId="39" xfId="276" applyNumberFormat="1" applyFont="1" applyFill="1" applyBorder="1" applyAlignment="1" applyProtection="1">
      <alignment horizontal="center" vertical="center"/>
    </xf>
    <xf numFmtId="172" fontId="48" fillId="21" borderId="18" xfId="276" applyNumberFormat="1" applyFont="1" applyFill="1" applyBorder="1" applyAlignment="1" applyProtection="1">
      <alignment horizontal="center" vertical="center"/>
    </xf>
    <xf numFmtId="172" fontId="48" fillId="21" borderId="39" xfId="276" applyNumberFormat="1" applyFont="1" applyFill="1" applyBorder="1" applyAlignment="1" applyProtection="1">
      <alignment horizontal="center" vertical="center"/>
    </xf>
    <xf numFmtId="164" fontId="1" fillId="26" borderId="41" xfId="276" applyNumberFormat="1" applyFont="1" applyFill="1" applyBorder="1" applyAlignment="1" applyProtection="1">
      <alignment horizontal="left" vertical="center" wrapText="1"/>
    </xf>
    <xf numFmtId="164" fontId="1" fillId="26" borderId="55" xfId="276" applyNumberFormat="1" applyFont="1" applyFill="1" applyBorder="1" applyAlignment="1" applyProtection="1">
      <alignment horizontal="left" vertical="center" wrapText="1"/>
    </xf>
    <xf numFmtId="3" fontId="47" fillId="0" borderId="32" xfId="276" applyNumberFormat="1" applyFont="1" applyFill="1" applyBorder="1" applyAlignment="1" applyProtection="1">
      <alignment horizontal="center" vertical="center" wrapText="1"/>
    </xf>
    <xf numFmtId="3" fontId="47" fillId="0" borderId="33" xfId="276" applyNumberFormat="1" applyFont="1" applyFill="1" applyBorder="1" applyAlignment="1" applyProtection="1">
      <alignment horizontal="center" vertical="center" wrapText="1"/>
    </xf>
    <xf numFmtId="3" fontId="47" fillId="0" borderId="35" xfId="276" applyNumberFormat="1" applyFont="1" applyFill="1" applyBorder="1" applyAlignment="1" applyProtection="1">
      <alignment horizontal="center" vertical="center" wrapText="1"/>
    </xf>
    <xf numFmtId="3" fontId="47" fillId="0" borderId="0" xfId="276" applyNumberFormat="1" applyFont="1" applyFill="1" applyBorder="1" applyAlignment="1" applyProtection="1">
      <alignment horizontal="center" vertical="center" wrapText="1"/>
    </xf>
    <xf numFmtId="44" fontId="48" fillId="0" borderId="52" xfId="337" applyFont="1" applyFill="1" applyBorder="1" applyAlignment="1" applyProtection="1">
      <alignment horizontal="center" vertical="center"/>
    </xf>
    <xf numFmtId="44" fontId="48" fillId="0" borderId="53" xfId="337" applyFont="1" applyFill="1" applyBorder="1" applyAlignment="1" applyProtection="1">
      <alignment horizontal="center" vertical="center"/>
    </xf>
    <xf numFmtId="0" fontId="3" fillId="26" borderId="18" xfId="0" applyFont="1" applyFill="1" applyBorder="1" applyAlignment="1">
      <alignment horizontal="center"/>
    </xf>
    <xf numFmtId="0" fontId="29" fillId="27" borderId="18" xfId="0" applyFont="1" applyFill="1" applyBorder="1" applyAlignment="1">
      <alignment horizontal="left"/>
    </xf>
    <xf numFmtId="0" fontId="3" fillId="26" borderId="31" xfId="0" applyFont="1" applyFill="1" applyBorder="1" applyAlignment="1">
      <alignment horizontal="center"/>
    </xf>
    <xf numFmtId="0" fontId="3" fillId="26" borderId="26" xfId="0" applyFont="1" applyFill="1" applyBorder="1" applyAlignment="1">
      <alignment horizontal="left"/>
    </xf>
    <xf numFmtId="0" fontId="3" fillId="26" borderId="17" xfId="0" applyFont="1" applyFill="1" applyBorder="1" applyAlignment="1">
      <alignment horizontal="left"/>
    </xf>
    <xf numFmtId="0" fontId="3" fillId="26" borderId="31" xfId="0" applyFont="1" applyFill="1" applyBorder="1" applyAlignment="1">
      <alignment horizontal="left"/>
    </xf>
    <xf numFmtId="0" fontId="3" fillId="34" borderId="18" xfId="0" applyFont="1" applyFill="1" applyBorder="1" applyAlignment="1">
      <alignment horizontal="center" vertical="center"/>
    </xf>
    <xf numFmtId="0" fontId="3" fillId="0" borderId="0" xfId="0" applyFont="1" applyFill="1" applyBorder="1" applyAlignment="1">
      <alignment horizontal="center" vertical="center"/>
    </xf>
    <xf numFmtId="0" fontId="29" fillId="27" borderId="18" xfId="0" applyFont="1" applyFill="1" applyBorder="1" applyAlignment="1">
      <alignment horizontal="center"/>
    </xf>
    <xf numFmtId="0" fontId="3" fillId="26" borderId="18" xfId="0" applyFont="1" applyFill="1" applyBorder="1" applyAlignment="1">
      <alignment horizontal="left"/>
    </xf>
    <xf numFmtId="0" fontId="55" fillId="0" borderId="18" xfId="0" applyFont="1" applyBorder="1" applyAlignment="1">
      <alignment horizontal="center" vertical="center"/>
    </xf>
    <xf numFmtId="0" fontId="3" fillId="27" borderId="18" xfId="0" applyFont="1" applyFill="1" applyBorder="1" applyAlignment="1">
      <alignment horizontal="left"/>
    </xf>
    <xf numFmtId="0" fontId="3" fillId="0" borderId="0" xfId="0" applyFont="1" applyBorder="1" applyAlignment="1">
      <alignment horizontal="center"/>
    </xf>
    <xf numFmtId="0" fontId="3" fillId="0" borderId="22" xfId="0" applyFont="1" applyBorder="1" applyAlignment="1">
      <alignment horizontal="center"/>
    </xf>
    <xf numFmtId="0" fontId="3" fillId="0" borderId="18" xfId="0" applyFont="1" applyBorder="1" applyAlignment="1">
      <alignment horizontal="center"/>
    </xf>
    <xf numFmtId="0" fontId="3" fillId="0" borderId="18" xfId="0" applyFont="1" applyBorder="1" applyAlignment="1">
      <alignment horizontal="center" vertical="center"/>
    </xf>
    <xf numFmtId="3" fontId="0" fillId="0" borderId="16" xfId="0" applyNumberFormat="1" applyBorder="1" applyAlignment="1">
      <alignment horizontal="center"/>
    </xf>
    <xf numFmtId="3" fontId="0" fillId="0" borderId="31" xfId="0" applyNumberFormat="1" applyBorder="1" applyAlignment="1">
      <alignment horizontal="center"/>
    </xf>
    <xf numFmtId="0" fontId="1" fillId="0" borderId="18" xfId="0" applyFont="1" applyBorder="1" applyAlignment="1">
      <alignment horizontal="center"/>
    </xf>
    <xf numFmtId="0" fontId="3" fillId="26" borderId="26" xfId="0" applyFont="1" applyFill="1" applyBorder="1" applyAlignment="1">
      <alignment horizontal="center" wrapText="1"/>
    </xf>
    <xf numFmtId="0" fontId="3" fillId="26" borderId="31" xfId="0" applyFont="1" applyFill="1" applyBorder="1" applyAlignment="1">
      <alignment horizontal="center" wrapText="1"/>
    </xf>
    <xf numFmtId="0" fontId="3" fillId="27" borderId="45" xfId="0" applyFont="1" applyFill="1" applyBorder="1" applyAlignment="1">
      <alignment horizontal="left"/>
    </xf>
    <xf numFmtId="0" fontId="3" fillId="26" borderId="26" xfId="0" applyFont="1" applyFill="1" applyBorder="1" applyAlignment="1">
      <alignment horizontal="center" vertical="center"/>
    </xf>
    <xf numFmtId="0" fontId="3" fillId="26" borderId="17" xfId="0" applyFont="1" applyFill="1" applyBorder="1" applyAlignment="1">
      <alignment horizontal="center" vertical="center"/>
    </xf>
    <xf numFmtId="0" fontId="3" fillId="26" borderId="31" xfId="0" applyFont="1" applyFill="1" applyBorder="1" applyAlignment="1">
      <alignment horizontal="center" vertical="center"/>
    </xf>
    <xf numFmtId="0" fontId="2" fillId="26" borderId="23" xfId="0" applyFont="1" applyFill="1" applyBorder="1" applyAlignment="1">
      <alignment horizontal="center" wrapText="1"/>
    </xf>
    <xf numFmtId="0" fontId="2" fillId="26" borderId="18" xfId="0" applyFont="1" applyFill="1" applyBorder="1" applyAlignment="1">
      <alignment horizontal="center" wrapText="1"/>
    </xf>
    <xf numFmtId="0" fontId="3" fillId="26" borderId="16" xfId="0" applyFont="1" applyFill="1" applyBorder="1" applyAlignment="1">
      <alignment horizontal="center" vertical="center"/>
    </xf>
  </cellXfs>
  <cellStyles count="338">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1 7" xfId="6" xr:uid="{00000000-0005-0000-0000-000005000000}"/>
    <cellStyle name="20% - Accent1 8" xfId="7" xr:uid="{00000000-0005-0000-0000-000006000000}"/>
    <cellStyle name="20% - Accent2 2" xfId="8" xr:uid="{00000000-0005-0000-0000-000007000000}"/>
    <cellStyle name="20% - Accent2 3" xfId="9" xr:uid="{00000000-0005-0000-0000-000008000000}"/>
    <cellStyle name="20% - Accent2 4" xfId="10" xr:uid="{00000000-0005-0000-0000-000009000000}"/>
    <cellStyle name="20% - Accent2 5" xfId="11" xr:uid="{00000000-0005-0000-0000-00000A000000}"/>
    <cellStyle name="20% - Accent2 6" xfId="12" xr:uid="{00000000-0005-0000-0000-00000B000000}"/>
    <cellStyle name="20% - Accent2 7" xfId="13" xr:uid="{00000000-0005-0000-0000-00000C000000}"/>
    <cellStyle name="20% - Accent2 8" xfId="14" xr:uid="{00000000-0005-0000-0000-00000D000000}"/>
    <cellStyle name="20% - Accent3 2" xfId="15" xr:uid="{00000000-0005-0000-0000-00000E000000}"/>
    <cellStyle name="20% - Accent3 3" xfId="16" xr:uid="{00000000-0005-0000-0000-00000F000000}"/>
    <cellStyle name="20% - Accent3 4" xfId="17" xr:uid="{00000000-0005-0000-0000-000010000000}"/>
    <cellStyle name="20% - Accent3 5" xfId="18" xr:uid="{00000000-0005-0000-0000-000011000000}"/>
    <cellStyle name="20% - Accent3 6" xfId="19" xr:uid="{00000000-0005-0000-0000-000012000000}"/>
    <cellStyle name="20% - Accent3 7" xfId="20" xr:uid="{00000000-0005-0000-0000-000013000000}"/>
    <cellStyle name="20% - Accent3 8" xfId="21" xr:uid="{00000000-0005-0000-0000-000014000000}"/>
    <cellStyle name="20% - Accent4 2" xfId="22" xr:uid="{00000000-0005-0000-0000-000015000000}"/>
    <cellStyle name="20% - Accent4 3" xfId="23" xr:uid="{00000000-0005-0000-0000-000016000000}"/>
    <cellStyle name="20% - Accent4 4" xfId="24" xr:uid="{00000000-0005-0000-0000-000017000000}"/>
    <cellStyle name="20% - Accent4 5" xfId="25" xr:uid="{00000000-0005-0000-0000-000018000000}"/>
    <cellStyle name="20% - Accent4 6" xfId="26" xr:uid="{00000000-0005-0000-0000-000019000000}"/>
    <cellStyle name="20% - Accent4 7" xfId="27" xr:uid="{00000000-0005-0000-0000-00001A000000}"/>
    <cellStyle name="20% - Accent4 8" xfId="28" xr:uid="{00000000-0005-0000-0000-00001B000000}"/>
    <cellStyle name="20% - Accent5 2" xfId="29" xr:uid="{00000000-0005-0000-0000-00001C000000}"/>
    <cellStyle name="20% - Accent5 3" xfId="30" xr:uid="{00000000-0005-0000-0000-00001D000000}"/>
    <cellStyle name="20% - Accent5 4" xfId="31" xr:uid="{00000000-0005-0000-0000-00001E000000}"/>
    <cellStyle name="20% - Accent5 5" xfId="32" xr:uid="{00000000-0005-0000-0000-00001F000000}"/>
    <cellStyle name="20% - Accent5 6" xfId="33" xr:uid="{00000000-0005-0000-0000-000020000000}"/>
    <cellStyle name="20% - Accent5 7" xfId="34" xr:uid="{00000000-0005-0000-0000-000021000000}"/>
    <cellStyle name="20% - Accent5 8" xfId="35" xr:uid="{00000000-0005-0000-0000-000022000000}"/>
    <cellStyle name="20% - Accent6 2" xfId="36" xr:uid="{00000000-0005-0000-0000-000023000000}"/>
    <cellStyle name="20% - Accent6 3" xfId="37" xr:uid="{00000000-0005-0000-0000-000024000000}"/>
    <cellStyle name="20% - Accent6 4" xfId="38" xr:uid="{00000000-0005-0000-0000-000025000000}"/>
    <cellStyle name="20% - Accent6 5" xfId="39" xr:uid="{00000000-0005-0000-0000-000026000000}"/>
    <cellStyle name="20% - Accent6 6" xfId="40" xr:uid="{00000000-0005-0000-0000-000027000000}"/>
    <cellStyle name="20% - Accent6 7" xfId="41" xr:uid="{00000000-0005-0000-0000-000028000000}"/>
    <cellStyle name="20% - Accent6 8" xfId="42" xr:uid="{00000000-0005-0000-0000-000029000000}"/>
    <cellStyle name="40% - Accent1 2" xfId="43" xr:uid="{00000000-0005-0000-0000-00002A000000}"/>
    <cellStyle name="40% - Accent1 3" xfId="44" xr:uid="{00000000-0005-0000-0000-00002B000000}"/>
    <cellStyle name="40% - Accent1 4" xfId="45" xr:uid="{00000000-0005-0000-0000-00002C000000}"/>
    <cellStyle name="40% - Accent1 5" xfId="46" xr:uid="{00000000-0005-0000-0000-00002D000000}"/>
    <cellStyle name="40% - Accent1 6" xfId="47" xr:uid="{00000000-0005-0000-0000-00002E000000}"/>
    <cellStyle name="40% - Accent1 7" xfId="48" xr:uid="{00000000-0005-0000-0000-00002F000000}"/>
    <cellStyle name="40% - Accent1 8" xfId="49" xr:uid="{00000000-0005-0000-0000-000030000000}"/>
    <cellStyle name="40% - Accent2 2" xfId="50" xr:uid="{00000000-0005-0000-0000-000031000000}"/>
    <cellStyle name="40% - Accent2 3" xfId="51" xr:uid="{00000000-0005-0000-0000-000032000000}"/>
    <cellStyle name="40% - Accent2 4" xfId="52" xr:uid="{00000000-0005-0000-0000-000033000000}"/>
    <cellStyle name="40% - Accent2 5" xfId="53" xr:uid="{00000000-0005-0000-0000-000034000000}"/>
    <cellStyle name="40% - Accent2 6" xfId="54" xr:uid="{00000000-0005-0000-0000-000035000000}"/>
    <cellStyle name="40% - Accent2 7" xfId="55" xr:uid="{00000000-0005-0000-0000-000036000000}"/>
    <cellStyle name="40% - Accent2 8" xfId="56" xr:uid="{00000000-0005-0000-0000-000037000000}"/>
    <cellStyle name="40% - Accent3 2" xfId="57" xr:uid="{00000000-0005-0000-0000-000038000000}"/>
    <cellStyle name="40% - Accent3 3" xfId="58" xr:uid="{00000000-0005-0000-0000-000039000000}"/>
    <cellStyle name="40% - Accent3 4" xfId="59" xr:uid="{00000000-0005-0000-0000-00003A000000}"/>
    <cellStyle name="40% - Accent3 5" xfId="60" xr:uid="{00000000-0005-0000-0000-00003B000000}"/>
    <cellStyle name="40% - Accent3 6" xfId="61" xr:uid="{00000000-0005-0000-0000-00003C000000}"/>
    <cellStyle name="40% - Accent3 7" xfId="62" xr:uid="{00000000-0005-0000-0000-00003D000000}"/>
    <cellStyle name="40% - Accent3 8" xfId="63" xr:uid="{00000000-0005-0000-0000-00003E000000}"/>
    <cellStyle name="40% - Accent4 2" xfId="64" xr:uid="{00000000-0005-0000-0000-00003F000000}"/>
    <cellStyle name="40% - Accent4 3" xfId="65" xr:uid="{00000000-0005-0000-0000-000040000000}"/>
    <cellStyle name="40% - Accent4 4" xfId="66" xr:uid="{00000000-0005-0000-0000-000041000000}"/>
    <cellStyle name="40% - Accent4 5" xfId="67" xr:uid="{00000000-0005-0000-0000-000042000000}"/>
    <cellStyle name="40% - Accent4 6" xfId="68" xr:uid="{00000000-0005-0000-0000-000043000000}"/>
    <cellStyle name="40% - Accent4 7" xfId="69" xr:uid="{00000000-0005-0000-0000-000044000000}"/>
    <cellStyle name="40% - Accent4 8" xfId="70" xr:uid="{00000000-0005-0000-0000-000045000000}"/>
    <cellStyle name="40% - Accent5 2" xfId="71" xr:uid="{00000000-0005-0000-0000-000046000000}"/>
    <cellStyle name="40% - Accent5 3" xfId="72" xr:uid="{00000000-0005-0000-0000-000047000000}"/>
    <cellStyle name="40% - Accent5 4" xfId="73" xr:uid="{00000000-0005-0000-0000-000048000000}"/>
    <cellStyle name="40% - Accent5 5" xfId="74" xr:uid="{00000000-0005-0000-0000-000049000000}"/>
    <cellStyle name="40% - Accent5 6" xfId="75" xr:uid="{00000000-0005-0000-0000-00004A000000}"/>
    <cellStyle name="40% - Accent5 7" xfId="76" xr:uid="{00000000-0005-0000-0000-00004B000000}"/>
    <cellStyle name="40% - Accent5 8" xfId="77" xr:uid="{00000000-0005-0000-0000-00004C000000}"/>
    <cellStyle name="40% - Accent6 2" xfId="78" xr:uid="{00000000-0005-0000-0000-00004D000000}"/>
    <cellStyle name="40% - Accent6 3" xfId="79" xr:uid="{00000000-0005-0000-0000-00004E000000}"/>
    <cellStyle name="40% - Accent6 4" xfId="80" xr:uid="{00000000-0005-0000-0000-00004F000000}"/>
    <cellStyle name="40% - Accent6 5" xfId="81" xr:uid="{00000000-0005-0000-0000-000050000000}"/>
    <cellStyle name="40% - Accent6 6" xfId="82" xr:uid="{00000000-0005-0000-0000-000051000000}"/>
    <cellStyle name="40% - Accent6 7" xfId="83" xr:uid="{00000000-0005-0000-0000-000052000000}"/>
    <cellStyle name="40% - Accent6 8" xfId="84" xr:uid="{00000000-0005-0000-0000-000053000000}"/>
    <cellStyle name="60% - Accent1 2" xfId="85" xr:uid="{00000000-0005-0000-0000-000054000000}"/>
    <cellStyle name="60% - Accent1 3" xfId="86" xr:uid="{00000000-0005-0000-0000-000055000000}"/>
    <cellStyle name="60% - Accent1 4" xfId="87" xr:uid="{00000000-0005-0000-0000-000056000000}"/>
    <cellStyle name="60% - Accent1 5" xfId="88" xr:uid="{00000000-0005-0000-0000-000057000000}"/>
    <cellStyle name="60% - Accent1 6" xfId="89" xr:uid="{00000000-0005-0000-0000-000058000000}"/>
    <cellStyle name="60% - Accent1 7" xfId="90" xr:uid="{00000000-0005-0000-0000-000059000000}"/>
    <cellStyle name="60% - Accent1 8" xfId="91" xr:uid="{00000000-0005-0000-0000-00005A000000}"/>
    <cellStyle name="60% - Accent2 2" xfId="92" xr:uid="{00000000-0005-0000-0000-00005B000000}"/>
    <cellStyle name="60% - Accent2 3" xfId="93" xr:uid="{00000000-0005-0000-0000-00005C000000}"/>
    <cellStyle name="60% - Accent2 4" xfId="94" xr:uid="{00000000-0005-0000-0000-00005D000000}"/>
    <cellStyle name="60% - Accent2 5" xfId="95" xr:uid="{00000000-0005-0000-0000-00005E000000}"/>
    <cellStyle name="60% - Accent2 6" xfId="96" xr:uid="{00000000-0005-0000-0000-00005F000000}"/>
    <cellStyle name="60% - Accent2 7" xfId="97" xr:uid="{00000000-0005-0000-0000-000060000000}"/>
    <cellStyle name="60% - Accent2 8" xfId="98" xr:uid="{00000000-0005-0000-0000-000061000000}"/>
    <cellStyle name="60% - Accent3 2" xfId="99" xr:uid="{00000000-0005-0000-0000-000062000000}"/>
    <cellStyle name="60% - Accent3 3" xfId="100" xr:uid="{00000000-0005-0000-0000-000063000000}"/>
    <cellStyle name="60% - Accent3 4" xfId="101" xr:uid="{00000000-0005-0000-0000-000064000000}"/>
    <cellStyle name="60% - Accent3 5" xfId="102" xr:uid="{00000000-0005-0000-0000-000065000000}"/>
    <cellStyle name="60% - Accent3 6" xfId="103" xr:uid="{00000000-0005-0000-0000-000066000000}"/>
    <cellStyle name="60% - Accent3 7" xfId="104" xr:uid="{00000000-0005-0000-0000-000067000000}"/>
    <cellStyle name="60% - Accent3 8" xfId="105" xr:uid="{00000000-0005-0000-0000-000068000000}"/>
    <cellStyle name="60% - Accent4 2" xfId="106" xr:uid="{00000000-0005-0000-0000-000069000000}"/>
    <cellStyle name="60% - Accent4 3" xfId="107" xr:uid="{00000000-0005-0000-0000-00006A000000}"/>
    <cellStyle name="60% - Accent4 4" xfId="108" xr:uid="{00000000-0005-0000-0000-00006B000000}"/>
    <cellStyle name="60% - Accent4 5" xfId="109" xr:uid="{00000000-0005-0000-0000-00006C000000}"/>
    <cellStyle name="60% - Accent4 6" xfId="110" xr:uid="{00000000-0005-0000-0000-00006D000000}"/>
    <cellStyle name="60% - Accent4 7" xfId="111" xr:uid="{00000000-0005-0000-0000-00006E000000}"/>
    <cellStyle name="60% - Accent4 8" xfId="112" xr:uid="{00000000-0005-0000-0000-00006F000000}"/>
    <cellStyle name="60% - Accent5 2" xfId="113" xr:uid="{00000000-0005-0000-0000-000070000000}"/>
    <cellStyle name="60% - Accent5 3" xfId="114" xr:uid="{00000000-0005-0000-0000-000071000000}"/>
    <cellStyle name="60% - Accent5 4" xfId="115" xr:uid="{00000000-0005-0000-0000-000072000000}"/>
    <cellStyle name="60% - Accent5 5" xfId="116" xr:uid="{00000000-0005-0000-0000-000073000000}"/>
    <cellStyle name="60% - Accent5 6" xfId="117" xr:uid="{00000000-0005-0000-0000-000074000000}"/>
    <cellStyle name="60% - Accent5 7" xfId="118" xr:uid="{00000000-0005-0000-0000-000075000000}"/>
    <cellStyle name="60% - Accent5 8" xfId="119" xr:uid="{00000000-0005-0000-0000-000076000000}"/>
    <cellStyle name="60% - Accent6 2" xfId="120" xr:uid="{00000000-0005-0000-0000-000077000000}"/>
    <cellStyle name="60% - Accent6 3" xfId="121" xr:uid="{00000000-0005-0000-0000-000078000000}"/>
    <cellStyle name="60% - Accent6 4" xfId="122" xr:uid="{00000000-0005-0000-0000-000079000000}"/>
    <cellStyle name="60% - Accent6 5" xfId="123" xr:uid="{00000000-0005-0000-0000-00007A000000}"/>
    <cellStyle name="60% - Accent6 6" xfId="124" xr:uid="{00000000-0005-0000-0000-00007B000000}"/>
    <cellStyle name="60% - Accent6 7" xfId="125" xr:uid="{00000000-0005-0000-0000-00007C000000}"/>
    <cellStyle name="60% - Accent6 8" xfId="126" xr:uid="{00000000-0005-0000-0000-00007D000000}"/>
    <cellStyle name="Accent1 2" xfId="127" xr:uid="{00000000-0005-0000-0000-00007E000000}"/>
    <cellStyle name="Accent1 3" xfId="128" xr:uid="{00000000-0005-0000-0000-00007F000000}"/>
    <cellStyle name="Accent1 4" xfId="129" xr:uid="{00000000-0005-0000-0000-000080000000}"/>
    <cellStyle name="Accent1 5" xfId="130" xr:uid="{00000000-0005-0000-0000-000081000000}"/>
    <cellStyle name="Accent1 6" xfId="131" xr:uid="{00000000-0005-0000-0000-000082000000}"/>
    <cellStyle name="Accent1 7" xfId="132" xr:uid="{00000000-0005-0000-0000-000083000000}"/>
    <cellStyle name="Accent1 8" xfId="133" xr:uid="{00000000-0005-0000-0000-000084000000}"/>
    <cellStyle name="Accent2 2" xfId="134" xr:uid="{00000000-0005-0000-0000-000085000000}"/>
    <cellStyle name="Accent2 3" xfId="135" xr:uid="{00000000-0005-0000-0000-000086000000}"/>
    <cellStyle name="Accent2 4" xfId="136" xr:uid="{00000000-0005-0000-0000-000087000000}"/>
    <cellStyle name="Accent2 5" xfId="137" xr:uid="{00000000-0005-0000-0000-000088000000}"/>
    <cellStyle name="Accent2 6" xfId="138" xr:uid="{00000000-0005-0000-0000-000089000000}"/>
    <cellStyle name="Accent2 7" xfId="139" xr:uid="{00000000-0005-0000-0000-00008A000000}"/>
    <cellStyle name="Accent2 8" xfId="140" xr:uid="{00000000-0005-0000-0000-00008B000000}"/>
    <cellStyle name="Accent3 2" xfId="141" xr:uid="{00000000-0005-0000-0000-00008C000000}"/>
    <cellStyle name="Accent3 3" xfId="142" xr:uid="{00000000-0005-0000-0000-00008D000000}"/>
    <cellStyle name="Accent3 4" xfId="143" xr:uid="{00000000-0005-0000-0000-00008E000000}"/>
    <cellStyle name="Accent3 5" xfId="144" xr:uid="{00000000-0005-0000-0000-00008F000000}"/>
    <cellStyle name="Accent3 6" xfId="145" xr:uid="{00000000-0005-0000-0000-000090000000}"/>
    <cellStyle name="Accent3 7" xfId="146" xr:uid="{00000000-0005-0000-0000-000091000000}"/>
    <cellStyle name="Accent3 8" xfId="147" xr:uid="{00000000-0005-0000-0000-000092000000}"/>
    <cellStyle name="Accent4 2" xfId="148" xr:uid="{00000000-0005-0000-0000-000093000000}"/>
    <cellStyle name="Accent4 3" xfId="149" xr:uid="{00000000-0005-0000-0000-000094000000}"/>
    <cellStyle name="Accent4 4" xfId="150" xr:uid="{00000000-0005-0000-0000-000095000000}"/>
    <cellStyle name="Accent4 5" xfId="151" xr:uid="{00000000-0005-0000-0000-000096000000}"/>
    <cellStyle name="Accent4 6" xfId="152" xr:uid="{00000000-0005-0000-0000-000097000000}"/>
    <cellStyle name="Accent4 7" xfId="153" xr:uid="{00000000-0005-0000-0000-000098000000}"/>
    <cellStyle name="Accent4 8" xfId="154" xr:uid="{00000000-0005-0000-0000-000099000000}"/>
    <cellStyle name="Accent5 2" xfId="155" xr:uid="{00000000-0005-0000-0000-00009A000000}"/>
    <cellStyle name="Accent5 3" xfId="156" xr:uid="{00000000-0005-0000-0000-00009B000000}"/>
    <cellStyle name="Accent5 4" xfId="157" xr:uid="{00000000-0005-0000-0000-00009C000000}"/>
    <cellStyle name="Accent5 5" xfId="158" xr:uid="{00000000-0005-0000-0000-00009D000000}"/>
    <cellStyle name="Accent5 6" xfId="159" xr:uid="{00000000-0005-0000-0000-00009E000000}"/>
    <cellStyle name="Accent5 7" xfId="160" xr:uid="{00000000-0005-0000-0000-00009F000000}"/>
    <cellStyle name="Accent5 8" xfId="161" xr:uid="{00000000-0005-0000-0000-0000A0000000}"/>
    <cellStyle name="Accent6 2" xfId="162" xr:uid="{00000000-0005-0000-0000-0000A1000000}"/>
    <cellStyle name="Accent6 3" xfId="163" xr:uid="{00000000-0005-0000-0000-0000A2000000}"/>
    <cellStyle name="Accent6 4" xfId="164" xr:uid="{00000000-0005-0000-0000-0000A3000000}"/>
    <cellStyle name="Accent6 5" xfId="165" xr:uid="{00000000-0005-0000-0000-0000A4000000}"/>
    <cellStyle name="Accent6 6" xfId="166" xr:uid="{00000000-0005-0000-0000-0000A5000000}"/>
    <cellStyle name="Accent6 7" xfId="167" xr:uid="{00000000-0005-0000-0000-0000A6000000}"/>
    <cellStyle name="Accent6 8" xfId="168" xr:uid="{00000000-0005-0000-0000-0000A7000000}"/>
    <cellStyle name="Bad 2" xfId="169" xr:uid="{00000000-0005-0000-0000-0000A8000000}"/>
    <cellStyle name="Bad 3" xfId="170" xr:uid="{00000000-0005-0000-0000-0000A9000000}"/>
    <cellStyle name="Bad 4" xfId="171" xr:uid="{00000000-0005-0000-0000-0000AA000000}"/>
    <cellStyle name="Bad 5" xfId="172" xr:uid="{00000000-0005-0000-0000-0000AB000000}"/>
    <cellStyle name="Bad 6" xfId="173" xr:uid="{00000000-0005-0000-0000-0000AC000000}"/>
    <cellStyle name="Bad 7" xfId="174" xr:uid="{00000000-0005-0000-0000-0000AD000000}"/>
    <cellStyle name="Bad 8" xfId="175" xr:uid="{00000000-0005-0000-0000-0000AE000000}"/>
    <cellStyle name="Calculation 2" xfId="176" xr:uid="{00000000-0005-0000-0000-0000AF000000}"/>
    <cellStyle name="Calculation 3" xfId="177" xr:uid="{00000000-0005-0000-0000-0000B0000000}"/>
    <cellStyle name="Calculation 4" xfId="178" xr:uid="{00000000-0005-0000-0000-0000B1000000}"/>
    <cellStyle name="Calculation 5" xfId="179" xr:uid="{00000000-0005-0000-0000-0000B2000000}"/>
    <cellStyle name="Calculation 6" xfId="180" xr:uid="{00000000-0005-0000-0000-0000B3000000}"/>
    <cellStyle name="Calculation 7" xfId="181" xr:uid="{00000000-0005-0000-0000-0000B4000000}"/>
    <cellStyle name="Calculation 8" xfId="182" xr:uid="{00000000-0005-0000-0000-0000B5000000}"/>
    <cellStyle name="Check Cell 2" xfId="183" xr:uid="{00000000-0005-0000-0000-0000B6000000}"/>
    <cellStyle name="Check Cell 3" xfId="184" xr:uid="{00000000-0005-0000-0000-0000B7000000}"/>
    <cellStyle name="Check Cell 4" xfId="185" xr:uid="{00000000-0005-0000-0000-0000B8000000}"/>
    <cellStyle name="Check Cell 5" xfId="186" xr:uid="{00000000-0005-0000-0000-0000B9000000}"/>
    <cellStyle name="Check Cell 6" xfId="187" xr:uid="{00000000-0005-0000-0000-0000BA000000}"/>
    <cellStyle name="Check Cell 7" xfId="188" xr:uid="{00000000-0005-0000-0000-0000BB000000}"/>
    <cellStyle name="Check Cell 8" xfId="189" xr:uid="{00000000-0005-0000-0000-0000BC000000}"/>
    <cellStyle name="Comma" xfId="190" builtinId="3"/>
    <cellStyle name="Comma 2" xfId="191" xr:uid="{00000000-0005-0000-0000-0000BE000000}"/>
    <cellStyle name="Comma 2 2" xfId="192" xr:uid="{00000000-0005-0000-0000-0000BF000000}"/>
    <cellStyle name="Comma 2 3" xfId="193" xr:uid="{00000000-0005-0000-0000-0000C0000000}"/>
    <cellStyle name="Comma 2 4" xfId="194" xr:uid="{00000000-0005-0000-0000-0000C1000000}"/>
    <cellStyle name="Comma 2 5" xfId="195" xr:uid="{00000000-0005-0000-0000-0000C2000000}"/>
    <cellStyle name="Comma 2 6" xfId="196" xr:uid="{00000000-0005-0000-0000-0000C3000000}"/>
    <cellStyle name="Comma 2 7" xfId="197" xr:uid="{00000000-0005-0000-0000-0000C4000000}"/>
    <cellStyle name="Comma 2 8" xfId="198" xr:uid="{00000000-0005-0000-0000-0000C5000000}"/>
    <cellStyle name="Currency" xfId="337" builtinId="4"/>
    <cellStyle name="Currency 11" xfId="199" xr:uid="{00000000-0005-0000-0000-0000C7000000}"/>
    <cellStyle name="Currency 11 2" xfId="200" xr:uid="{00000000-0005-0000-0000-0000C8000000}"/>
    <cellStyle name="Currency 2 2" xfId="201" xr:uid="{00000000-0005-0000-0000-0000C9000000}"/>
    <cellStyle name="Currency 2 3" xfId="202" xr:uid="{00000000-0005-0000-0000-0000CA000000}"/>
    <cellStyle name="Currency 2 4" xfId="203" xr:uid="{00000000-0005-0000-0000-0000CB000000}"/>
    <cellStyle name="Currency 2 5" xfId="204" xr:uid="{00000000-0005-0000-0000-0000CC000000}"/>
    <cellStyle name="Currency 2 6" xfId="205" xr:uid="{00000000-0005-0000-0000-0000CD000000}"/>
    <cellStyle name="Currency 2 7" xfId="206" xr:uid="{00000000-0005-0000-0000-0000CE000000}"/>
    <cellStyle name="Currency 2 8" xfId="207" xr:uid="{00000000-0005-0000-0000-0000CF000000}"/>
    <cellStyle name="Currency 3" xfId="208" xr:uid="{00000000-0005-0000-0000-0000D0000000}"/>
    <cellStyle name="Data Field" xfId="209" xr:uid="{00000000-0005-0000-0000-0000D1000000}"/>
    <cellStyle name="Data Name" xfId="210" xr:uid="{00000000-0005-0000-0000-0000D2000000}"/>
    <cellStyle name="Explanatory Text 2" xfId="211" xr:uid="{00000000-0005-0000-0000-0000D3000000}"/>
    <cellStyle name="Explanatory Text 3" xfId="212" xr:uid="{00000000-0005-0000-0000-0000D4000000}"/>
    <cellStyle name="Explanatory Text 4" xfId="213" xr:uid="{00000000-0005-0000-0000-0000D5000000}"/>
    <cellStyle name="Explanatory Text 5" xfId="214" xr:uid="{00000000-0005-0000-0000-0000D6000000}"/>
    <cellStyle name="Explanatory Text 6" xfId="215" xr:uid="{00000000-0005-0000-0000-0000D7000000}"/>
    <cellStyle name="Explanatory Text 7" xfId="216" xr:uid="{00000000-0005-0000-0000-0000D8000000}"/>
    <cellStyle name="Explanatory Text 8" xfId="217" xr:uid="{00000000-0005-0000-0000-0000D9000000}"/>
    <cellStyle name="Good 2" xfId="218" xr:uid="{00000000-0005-0000-0000-0000DA000000}"/>
    <cellStyle name="Good 3" xfId="219" xr:uid="{00000000-0005-0000-0000-0000DB000000}"/>
    <cellStyle name="Good 4" xfId="220" xr:uid="{00000000-0005-0000-0000-0000DC000000}"/>
    <cellStyle name="Good 5" xfId="221" xr:uid="{00000000-0005-0000-0000-0000DD000000}"/>
    <cellStyle name="Good 6" xfId="222" xr:uid="{00000000-0005-0000-0000-0000DE000000}"/>
    <cellStyle name="Good 7" xfId="223" xr:uid="{00000000-0005-0000-0000-0000DF000000}"/>
    <cellStyle name="Good 8" xfId="224" xr:uid="{00000000-0005-0000-0000-0000E0000000}"/>
    <cellStyle name="Heading 1 2" xfId="225" xr:uid="{00000000-0005-0000-0000-0000E1000000}"/>
    <cellStyle name="Heading 1 3" xfId="226" xr:uid="{00000000-0005-0000-0000-0000E2000000}"/>
    <cellStyle name="Heading 1 4" xfId="227" xr:uid="{00000000-0005-0000-0000-0000E3000000}"/>
    <cellStyle name="Heading 1 5" xfId="228" xr:uid="{00000000-0005-0000-0000-0000E4000000}"/>
    <cellStyle name="Heading 1 6" xfId="229" xr:uid="{00000000-0005-0000-0000-0000E5000000}"/>
    <cellStyle name="Heading 1 7" xfId="230" xr:uid="{00000000-0005-0000-0000-0000E6000000}"/>
    <cellStyle name="Heading 1 8" xfId="231" xr:uid="{00000000-0005-0000-0000-0000E7000000}"/>
    <cellStyle name="Heading 2 2" xfId="232" xr:uid="{00000000-0005-0000-0000-0000E8000000}"/>
    <cellStyle name="Heading 2 3" xfId="233" xr:uid="{00000000-0005-0000-0000-0000E9000000}"/>
    <cellStyle name="Heading 2 4" xfId="234" xr:uid="{00000000-0005-0000-0000-0000EA000000}"/>
    <cellStyle name="Heading 2 5" xfId="235" xr:uid="{00000000-0005-0000-0000-0000EB000000}"/>
    <cellStyle name="Heading 2 6" xfId="236" xr:uid="{00000000-0005-0000-0000-0000EC000000}"/>
    <cellStyle name="Heading 2 7" xfId="237" xr:uid="{00000000-0005-0000-0000-0000ED000000}"/>
    <cellStyle name="Heading 2 8" xfId="238" xr:uid="{00000000-0005-0000-0000-0000EE000000}"/>
    <cellStyle name="Heading 3 2" xfId="239" xr:uid="{00000000-0005-0000-0000-0000EF000000}"/>
    <cellStyle name="Heading 3 3" xfId="240" xr:uid="{00000000-0005-0000-0000-0000F0000000}"/>
    <cellStyle name="Heading 3 4" xfId="241" xr:uid="{00000000-0005-0000-0000-0000F1000000}"/>
    <cellStyle name="Heading 3 5" xfId="242" xr:uid="{00000000-0005-0000-0000-0000F2000000}"/>
    <cellStyle name="Heading 3 6" xfId="243" xr:uid="{00000000-0005-0000-0000-0000F3000000}"/>
    <cellStyle name="Heading 3 7" xfId="244" xr:uid="{00000000-0005-0000-0000-0000F4000000}"/>
    <cellStyle name="Heading 3 8" xfId="245" xr:uid="{00000000-0005-0000-0000-0000F5000000}"/>
    <cellStyle name="Heading 4 2" xfId="246" xr:uid="{00000000-0005-0000-0000-0000F6000000}"/>
    <cellStyle name="Heading 4 3" xfId="247" xr:uid="{00000000-0005-0000-0000-0000F7000000}"/>
    <cellStyle name="Heading 4 4" xfId="248" xr:uid="{00000000-0005-0000-0000-0000F8000000}"/>
    <cellStyle name="Heading 4 5" xfId="249" xr:uid="{00000000-0005-0000-0000-0000F9000000}"/>
    <cellStyle name="Heading 4 6" xfId="250" xr:uid="{00000000-0005-0000-0000-0000FA000000}"/>
    <cellStyle name="Heading 4 7" xfId="251" xr:uid="{00000000-0005-0000-0000-0000FB000000}"/>
    <cellStyle name="Heading 4 8" xfId="252" xr:uid="{00000000-0005-0000-0000-0000FC000000}"/>
    <cellStyle name="Hyperlink" xfId="336" builtinId="8"/>
    <cellStyle name="Hyperlink 2" xfId="253" xr:uid="{00000000-0005-0000-0000-0000FE000000}"/>
    <cellStyle name="Input 2" xfId="254" xr:uid="{00000000-0005-0000-0000-0000FF000000}"/>
    <cellStyle name="Input 3" xfId="255" xr:uid="{00000000-0005-0000-0000-000000010000}"/>
    <cellStyle name="Input 4" xfId="256" xr:uid="{00000000-0005-0000-0000-000001010000}"/>
    <cellStyle name="Input 5" xfId="257" xr:uid="{00000000-0005-0000-0000-000002010000}"/>
    <cellStyle name="Input 6" xfId="258" xr:uid="{00000000-0005-0000-0000-000003010000}"/>
    <cellStyle name="Input 7" xfId="259" xr:uid="{00000000-0005-0000-0000-000004010000}"/>
    <cellStyle name="Input 8" xfId="260" xr:uid="{00000000-0005-0000-0000-000005010000}"/>
    <cellStyle name="Linked Cell 2" xfId="261" xr:uid="{00000000-0005-0000-0000-000006010000}"/>
    <cellStyle name="Linked Cell 3" xfId="262" xr:uid="{00000000-0005-0000-0000-000007010000}"/>
    <cellStyle name="Linked Cell 4" xfId="263" xr:uid="{00000000-0005-0000-0000-000008010000}"/>
    <cellStyle name="Linked Cell 5" xfId="264" xr:uid="{00000000-0005-0000-0000-000009010000}"/>
    <cellStyle name="Linked Cell 6" xfId="265" xr:uid="{00000000-0005-0000-0000-00000A010000}"/>
    <cellStyle name="Linked Cell 7" xfId="266" xr:uid="{00000000-0005-0000-0000-00000B010000}"/>
    <cellStyle name="Linked Cell 8" xfId="267" xr:uid="{00000000-0005-0000-0000-00000C010000}"/>
    <cellStyle name="Neutral 2" xfId="268" xr:uid="{00000000-0005-0000-0000-00000D010000}"/>
    <cellStyle name="Neutral 3" xfId="269" xr:uid="{00000000-0005-0000-0000-00000E010000}"/>
    <cellStyle name="Neutral 4" xfId="270" xr:uid="{00000000-0005-0000-0000-00000F010000}"/>
    <cellStyle name="Neutral 5" xfId="271" xr:uid="{00000000-0005-0000-0000-000010010000}"/>
    <cellStyle name="Neutral 6" xfId="272" xr:uid="{00000000-0005-0000-0000-000011010000}"/>
    <cellStyle name="Neutral 7" xfId="273" xr:uid="{00000000-0005-0000-0000-000012010000}"/>
    <cellStyle name="Neutral 8" xfId="274" xr:uid="{00000000-0005-0000-0000-000013010000}"/>
    <cellStyle name="Normal" xfId="0" builtinId="0"/>
    <cellStyle name="Normal 10" xfId="275" xr:uid="{00000000-0005-0000-0000-000015010000}"/>
    <cellStyle name="Normal 2" xfId="276" xr:uid="{00000000-0005-0000-0000-000016010000}"/>
    <cellStyle name="Normal 2 2" xfId="277" xr:uid="{00000000-0005-0000-0000-000017010000}"/>
    <cellStyle name="Normal 2 3" xfId="278" xr:uid="{00000000-0005-0000-0000-000018010000}"/>
    <cellStyle name="Normal 2 4" xfId="279" xr:uid="{00000000-0005-0000-0000-000019010000}"/>
    <cellStyle name="Normal 2 5" xfId="280" xr:uid="{00000000-0005-0000-0000-00001A010000}"/>
    <cellStyle name="Normal 2 6" xfId="281" xr:uid="{00000000-0005-0000-0000-00001B010000}"/>
    <cellStyle name="Normal 2 7" xfId="282" xr:uid="{00000000-0005-0000-0000-00001C010000}"/>
    <cellStyle name="Normal 2 8" xfId="283" xr:uid="{00000000-0005-0000-0000-00001D010000}"/>
    <cellStyle name="Normal 3 2" xfId="284" xr:uid="{00000000-0005-0000-0000-00001E010000}"/>
    <cellStyle name="Normal 3 3" xfId="285" xr:uid="{00000000-0005-0000-0000-00001F010000}"/>
    <cellStyle name="Normal 3 4" xfId="286" xr:uid="{00000000-0005-0000-0000-000020010000}"/>
    <cellStyle name="Normal 3 5" xfId="287" xr:uid="{00000000-0005-0000-0000-000021010000}"/>
    <cellStyle name="Normal 3 6" xfId="288" xr:uid="{00000000-0005-0000-0000-000022010000}"/>
    <cellStyle name="Normal 3 7" xfId="289" xr:uid="{00000000-0005-0000-0000-000023010000}"/>
    <cellStyle name="Normal 3 8" xfId="290" xr:uid="{00000000-0005-0000-0000-000024010000}"/>
    <cellStyle name="Normal 4" xfId="291" xr:uid="{00000000-0005-0000-0000-000025010000}"/>
    <cellStyle name="Note 2" xfId="292" xr:uid="{00000000-0005-0000-0000-000026010000}"/>
    <cellStyle name="Note 3" xfId="293" xr:uid="{00000000-0005-0000-0000-000027010000}"/>
    <cellStyle name="Note 4" xfId="294" xr:uid="{00000000-0005-0000-0000-000028010000}"/>
    <cellStyle name="Note 5" xfId="295" xr:uid="{00000000-0005-0000-0000-000029010000}"/>
    <cellStyle name="Note 6" xfId="296" xr:uid="{00000000-0005-0000-0000-00002A010000}"/>
    <cellStyle name="Note 7" xfId="297" xr:uid="{00000000-0005-0000-0000-00002B010000}"/>
    <cellStyle name="Note 8" xfId="298" xr:uid="{00000000-0005-0000-0000-00002C010000}"/>
    <cellStyle name="Output 2" xfId="299" xr:uid="{00000000-0005-0000-0000-00002D010000}"/>
    <cellStyle name="Output 3" xfId="300" xr:uid="{00000000-0005-0000-0000-00002E010000}"/>
    <cellStyle name="Output 4" xfId="301" xr:uid="{00000000-0005-0000-0000-00002F010000}"/>
    <cellStyle name="Output 5" xfId="302" xr:uid="{00000000-0005-0000-0000-000030010000}"/>
    <cellStyle name="Output 6" xfId="303" xr:uid="{00000000-0005-0000-0000-000031010000}"/>
    <cellStyle name="Output 7" xfId="304" xr:uid="{00000000-0005-0000-0000-000032010000}"/>
    <cellStyle name="Output 8" xfId="305" xr:uid="{00000000-0005-0000-0000-000033010000}"/>
    <cellStyle name="Percent" xfId="306" builtinId="5"/>
    <cellStyle name="Percent 2 2" xfId="307" xr:uid="{00000000-0005-0000-0000-000035010000}"/>
    <cellStyle name="Percent 2 3" xfId="308" xr:uid="{00000000-0005-0000-0000-000036010000}"/>
    <cellStyle name="Percent 2 4" xfId="309" xr:uid="{00000000-0005-0000-0000-000037010000}"/>
    <cellStyle name="Percent 2 5" xfId="310" xr:uid="{00000000-0005-0000-0000-000038010000}"/>
    <cellStyle name="Percent 2 6" xfId="311" xr:uid="{00000000-0005-0000-0000-000039010000}"/>
    <cellStyle name="Percent 2 7" xfId="312" xr:uid="{00000000-0005-0000-0000-00003A010000}"/>
    <cellStyle name="Percent 2 8" xfId="313" xr:uid="{00000000-0005-0000-0000-00003B010000}"/>
    <cellStyle name="Percent 3" xfId="314" xr:uid="{00000000-0005-0000-0000-00003C010000}"/>
    <cellStyle name="Title 2" xfId="315" xr:uid="{00000000-0005-0000-0000-00003D010000}"/>
    <cellStyle name="Title 3" xfId="316" xr:uid="{00000000-0005-0000-0000-00003E010000}"/>
    <cellStyle name="Title 4" xfId="317" xr:uid="{00000000-0005-0000-0000-00003F010000}"/>
    <cellStyle name="Title 5" xfId="318" xr:uid="{00000000-0005-0000-0000-000040010000}"/>
    <cellStyle name="Title 6" xfId="319" xr:uid="{00000000-0005-0000-0000-000041010000}"/>
    <cellStyle name="Title 7" xfId="320" xr:uid="{00000000-0005-0000-0000-000042010000}"/>
    <cellStyle name="Title 8" xfId="321" xr:uid="{00000000-0005-0000-0000-000043010000}"/>
    <cellStyle name="Total 2" xfId="322" xr:uid="{00000000-0005-0000-0000-000044010000}"/>
    <cellStyle name="Total 3" xfId="323" xr:uid="{00000000-0005-0000-0000-000045010000}"/>
    <cellStyle name="Total 4" xfId="324" xr:uid="{00000000-0005-0000-0000-000046010000}"/>
    <cellStyle name="Total 5" xfId="325" xr:uid="{00000000-0005-0000-0000-000047010000}"/>
    <cellStyle name="Total 6" xfId="326" xr:uid="{00000000-0005-0000-0000-000048010000}"/>
    <cellStyle name="Total 7" xfId="327" xr:uid="{00000000-0005-0000-0000-000049010000}"/>
    <cellStyle name="Total 8" xfId="328" xr:uid="{00000000-0005-0000-0000-00004A010000}"/>
    <cellStyle name="Warning Text 2" xfId="329" xr:uid="{00000000-0005-0000-0000-00004B010000}"/>
    <cellStyle name="Warning Text 3" xfId="330" xr:uid="{00000000-0005-0000-0000-00004C010000}"/>
    <cellStyle name="Warning Text 4" xfId="331" xr:uid="{00000000-0005-0000-0000-00004D010000}"/>
    <cellStyle name="Warning Text 5" xfId="332" xr:uid="{00000000-0005-0000-0000-00004E010000}"/>
    <cellStyle name="Warning Text 6" xfId="333" xr:uid="{00000000-0005-0000-0000-00004F010000}"/>
    <cellStyle name="Warning Text 7" xfId="334" xr:uid="{00000000-0005-0000-0000-000050010000}"/>
    <cellStyle name="Warning Text 8" xfId="335" xr:uid="{00000000-0005-0000-0000-000051010000}"/>
  </cellStyles>
  <dxfs count="0"/>
  <tableStyles count="0" defaultTableStyle="TableStyleMedium9" defaultPivotStyle="PivotStyleLight16"/>
  <colors>
    <mruColors>
      <color rgb="FF01A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416237</xdr:colOff>
      <xdr:row>7</xdr:row>
      <xdr:rowOff>283410</xdr:rowOff>
    </xdr:to>
    <xdr:pic>
      <xdr:nvPicPr>
        <xdr:cNvPr id="34159" name="Picture 3">
          <a:extLst>
            <a:ext uri="{FF2B5EF4-FFF2-40B4-BE49-F238E27FC236}">
              <a16:creationId xmlns:a16="http://schemas.microsoft.com/office/drawing/2014/main" id="{00000000-0008-0000-0000-00006F8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5534337" cy="3226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27454</xdr:colOff>
      <xdr:row>10</xdr:row>
      <xdr:rowOff>207868</xdr:rowOff>
    </xdr:from>
    <xdr:to>
      <xdr:col>21</xdr:col>
      <xdr:colOff>908683</xdr:colOff>
      <xdr:row>10</xdr:row>
      <xdr:rowOff>557491</xdr:rowOff>
    </xdr:to>
    <xdr:sp macro="[0]!Click_to_Clear_HVAC" textlink="">
      <xdr:nvSpPr>
        <xdr:cNvPr id="2" name="Rounded Rectangle 1">
          <a:extLst>
            <a:ext uri="{FF2B5EF4-FFF2-40B4-BE49-F238E27FC236}">
              <a16:creationId xmlns:a16="http://schemas.microsoft.com/office/drawing/2014/main" id="{00000000-0008-0000-0000-000002000000}"/>
            </a:ext>
          </a:extLst>
        </xdr:cNvPr>
        <xdr:cNvSpPr/>
      </xdr:nvSpPr>
      <xdr:spPr>
        <a:xfrm>
          <a:off x="9533404" y="2131918"/>
          <a:ext cx="1972796" cy="349623"/>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Arial" pitchFamily="34" charset="0"/>
              <a:cs typeface="Arial" pitchFamily="34" charset="0"/>
            </a:rPr>
            <a:t>Click</a:t>
          </a:r>
          <a:r>
            <a:rPr lang="en-US" sz="1100" b="1" baseline="0">
              <a:solidFill>
                <a:schemeClr val="tx1"/>
              </a:solidFill>
              <a:latin typeface="Arial" pitchFamily="34" charset="0"/>
              <a:cs typeface="Arial" pitchFamily="34" charset="0"/>
            </a:rPr>
            <a:t>  to Clear</a:t>
          </a:r>
          <a:endParaRPr lang="en-US" sz="1100" b="1">
            <a:solidFill>
              <a:schemeClr val="tx1"/>
            </a:solidFill>
            <a:latin typeface="Arial" pitchFamily="34" charset="0"/>
            <a:cs typeface="Arial" pitchFamily="34" charset="0"/>
          </a:endParaRPr>
        </a:p>
      </xdr:txBody>
    </xdr:sp>
    <xdr:clientData fLocksWithSheet="0"/>
  </xdr:twoCellAnchor>
  <xdr:twoCellAnchor>
    <xdr:from>
      <xdr:col>25</xdr:col>
      <xdr:colOff>84096</xdr:colOff>
      <xdr:row>10</xdr:row>
      <xdr:rowOff>207645</xdr:rowOff>
    </xdr:from>
    <xdr:to>
      <xdr:col>25</xdr:col>
      <xdr:colOff>4527490</xdr:colOff>
      <xdr:row>10</xdr:row>
      <xdr:rowOff>559850</xdr:rowOff>
    </xdr:to>
    <xdr:sp macro="[0]!HVAC_info_clear" textlink="">
      <xdr:nvSpPr>
        <xdr:cNvPr id="4" name="Rounded Rectangle 3">
          <a:extLst>
            <a:ext uri="{FF2B5EF4-FFF2-40B4-BE49-F238E27FC236}">
              <a16:creationId xmlns:a16="http://schemas.microsoft.com/office/drawing/2014/main" id="{00000000-0008-0000-0000-000004000000}"/>
            </a:ext>
          </a:extLst>
        </xdr:cNvPr>
        <xdr:cNvSpPr/>
      </xdr:nvSpPr>
      <xdr:spPr>
        <a:xfrm>
          <a:off x="12346581" y="4861560"/>
          <a:ext cx="4567280" cy="352205"/>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Arial" pitchFamily="34" charset="0"/>
              <a:cs typeface="Arial" pitchFamily="34" charset="0"/>
            </a:rPr>
            <a:t>Click</a:t>
          </a:r>
          <a:r>
            <a:rPr lang="en-US" sz="1100" b="1" baseline="0">
              <a:solidFill>
                <a:schemeClr val="tx1"/>
              </a:solidFill>
              <a:latin typeface="Arial" pitchFamily="34" charset="0"/>
              <a:cs typeface="Arial" pitchFamily="34" charset="0"/>
            </a:rPr>
            <a:t>  to Clear Business Data</a:t>
          </a:r>
          <a:endParaRPr lang="en-US" sz="1100" b="1">
            <a:solidFill>
              <a:schemeClr val="tx1"/>
            </a:solidFill>
            <a:latin typeface="Arial" pitchFamily="34" charset="0"/>
            <a:cs typeface="Arial" pitchFamily="34" charset="0"/>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nrel.gov/buildings/pdfs/38238.pdf"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xcelenergy.com/staticfiles/xe/PDF/Marketing/CO-Bus-Motors-Drive-Efficiency-Rebate-Application-2015.pdf" TargetMode="External"/><Relationship Id="rId7" Type="http://schemas.openxmlformats.org/officeDocument/2006/relationships/vmlDrawing" Target="../drawings/vmlDrawing3.vml"/><Relationship Id="rId2" Type="http://schemas.openxmlformats.org/officeDocument/2006/relationships/hyperlink" Target="http://www.xcelenergy.com/Energy_Solutions/Business_Solutions/Rebates_&amp;_Energy_Savings/Heating_Efficiency" TargetMode="External"/><Relationship Id="rId1" Type="http://schemas.openxmlformats.org/officeDocument/2006/relationships/hyperlink" Target="http://www.xcelenergy.com/Energy_Solutions/Business_Solutions/Rebates_&amp;_Energy_Savings/Heating_Efficiency" TargetMode="External"/><Relationship Id="rId6" Type="http://schemas.openxmlformats.org/officeDocument/2006/relationships/printerSettings" Target="../printerSettings/printerSettings3.bin"/><Relationship Id="rId5" Type="http://schemas.openxmlformats.org/officeDocument/2006/relationships/hyperlink" Target="http://www.homedepot.com/b/Heating-Venting-Cooling-Thermostats-Non-Programmable-Thermostats/N-5yc1vZc4lt" TargetMode="External"/><Relationship Id="rId4" Type="http://schemas.openxmlformats.org/officeDocument/2006/relationships/hyperlink" Target="http://www.homedepot.com/p/Honeywell-Wi-Fi-Programmable-Touchscreen-Thermostat-Free-App-RTH8580WF/2033560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N257"/>
  <sheetViews>
    <sheetView showGridLines="0" showZeros="0" tabSelected="1" zoomScale="85" zoomScaleNormal="85" workbookViewId="0">
      <selection activeCell="D31" sqref="D31"/>
    </sheetView>
  </sheetViews>
  <sheetFormatPr defaultColWidth="52.42578125" defaultRowHeight="12.75" x14ac:dyDescent="0.2"/>
  <cols>
    <col min="1" max="1" width="48.28515625" style="15" customWidth="1"/>
    <col min="2" max="3" width="14.28515625" style="15" customWidth="1"/>
    <col min="4" max="4" width="16.140625" style="15" customWidth="1"/>
    <col min="5" max="5" width="14.28515625" style="15" customWidth="1"/>
    <col min="6" max="6" width="16.85546875" style="15" customWidth="1"/>
    <col min="7" max="7" width="17.5703125" style="15" hidden="1" customWidth="1"/>
    <col min="8" max="8" width="15.7109375" style="15" customWidth="1"/>
    <col min="9" max="9" width="15.85546875" style="15" hidden="1" customWidth="1"/>
    <col min="10" max="10" width="22" style="15" customWidth="1"/>
    <col min="11" max="11" width="22.28515625" style="15" hidden="1" customWidth="1"/>
    <col min="12" max="12" width="17.42578125" style="15" customWidth="1"/>
    <col min="13" max="13" width="21.28515625" style="15" hidden="1" customWidth="1"/>
    <col min="14" max="14" width="18" style="15" customWidth="1"/>
    <col min="15" max="15" width="19.7109375" style="15" customWidth="1"/>
    <col min="16" max="16" width="17.85546875" style="15" customWidth="1"/>
    <col min="17" max="17" width="17.7109375" style="34" hidden="1" customWidth="1"/>
    <col min="18" max="18" width="21" style="34" hidden="1" customWidth="1"/>
    <col min="19" max="19" width="19.5703125" style="35" customWidth="1"/>
    <col min="20" max="20" width="20.5703125" style="35" customWidth="1"/>
    <col min="21" max="21" width="16.28515625" style="16" customWidth="1"/>
    <col min="22" max="22" width="19.28515625" style="3" customWidth="1"/>
    <col min="23" max="23" width="26.28515625" style="3" hidden="1" customWidth="1"/>
    <col min="24" max="24" width="19.28515625" style="3" hidden="1" customWidth="1"/>
    <col min="25" max="25" width="26.140625" style="3" hidden="1" customWidth="1"/>
    <col min="26" max="26" width="75.7109375" style="2" customWidth="1"/>
    <col min="27" max="40" width="52.42578125" style="2"/>
    <col min="41" max="16384" width="52.42578125" style="3"/>
  </cols>
  <sheetData>
    <row r="1" spans="1:40" ht="55.5" customHeight="1" thickBot="1" x14ac:dyDescent="0.75">
      <c r="A1" s="1"/>
      <c r="B1" s="54"/>
      <c r="C1" s="54"/>
      <c r="D1" s="54"/>
      <c r="E1" s="54"/>
      <c r="F1" s="54"/>
      <c r="G1" s="54"/>
      <c r="H1" s="54"/>
      <c r="I1" s="54"/>
      <c r="J1" s="54"/>
      <c r="K1" s="54"/>
      <c r="L1" s="54"/>
      <c r="M1" s="54"/>
      <c r="N1" s="54"/>
      <c r="O1" s="54"/>
      <c r="P1" s="54"/>
      <c r="Q1" s="27"/>
      <c r="R1" s="27"/>
      <c r="S1" s="28"/>
      <c r="T1" s="25"/>
      <c r="U1" s="26"/>
      <c r="V1" s="36"/>
      <c r="W1" s="36"/>
      <c r="X1" s="36"/>
      <c r="Y1" s="36"/>
      <c r="Z1" s="44" t="s">
        <v>109</v>
      </c>
    </row>
    <row r="2" spans="1:40" ht="40.9" customHeight="1" thickBot="1" x14ac:dyDescent="0.65">
      <c r="A2" s="20"/>
      <c r="B2" s="55"/>
      <c r="C2" s="55"/>
      <c r="D2" s="55"/>
      <c r="E2" s="55"/>
      <c r="F2" s="55"/>
      <c r="G2" s="55"/>
      <c r="H2" s="55"/>
      <c r="I2" s="55"/>
      <c r="J2" s="55"/>
      <c r="K2" s="55"/>
      <c r="L2" s="55"/>
      <c r="M2" s="55"/>
      <c r="N2" s="55"/>
      <c r="O2" s="55"/>
      <c r="P2" s="55"/>
      <c r="U2" s="51"/>
      <c r="V2" s="37"/>
      <c r="W2" s="37"/>
      <c r="X2" s="37"/>
      <c r="Y2" s="37"/>
      <c r="Z2" s="45"/>
    </row>
    <row r="3" spans="1:40" ht="17.25" customHeight="1" thickBot="1" x14ac:dyDescent="0.75">
      <c r="A3" s="20"/>
      <c r="B3" s="55"/>
      <c r="C3" s="55"/>
      <c r="D3" s="55"/>
      <c r="E3" s="55"/>
      <c r="F3" s="55"/>
      <c r="G3" s="55"/>
      <c r="H3" s="55"/>
      <c r="I3" s="55"/>
      <c r="J3" s="55"/>
      <c r="K3" s="55"/>
      <c r="L3" s="55"/>
      <c r="M3" s="55"/>
      <c r="N3" s="55"/>
      <c r="O3" s="55"/>
      <c r="P3" s="55"/>
      <c r="Q3" s="29"/>
      <c r="R3" s="30"/>
      <c r="S3" s="31"/>
      <c r="T3" s="23"/>
      <c r="U3" s="21"/>
      <c r="V3" s="37"/>
      <c r="W3" s="37"/>
      <c r="X3" s="37"/>
      <c r="Y3" s="37"/>
      <c r="Z3" s="46" t="s">
        <v>115</v>
      </c>
    </row>
    <row r="4" spans="1:40" ht="41.25" customHeight="1" thickBot="1" x14ac:dyDescent="0.65">
      <c r="A4" s="399"/>
      <c r="B4" s="56"/>
      <c r="C4" s="56"/>
      <c r="D4" s="56"/>
      <c r="E4" s="417" t="s">
        <v>433</v>
      </c>
      <c r="F4" s="418"/>
      <c r="G4" s="418"/>
      <c r="H4" s="418"/>
      <c r="I4" s="418"/>
      <c r="J4" s="418"/>
      <c r="K4" s="418"/>
      <c r="L4" s="56"/>
      <c r="M4" s="56"/>
      <c r="N4" s="56"/>
      <c r="O4" s="401" t="s">
        <v>17</v>
      </c>
      <c r="P4" s="401"/>
      <c r="Q4" s="401"/>
      <c r="R4" s="401"/>
      <c r="S4" s="402"/>
      <c r="T4" s="234"/>
      <c r="U4" s="51"/>
      <c r="V4" s="37"/>
      <c r="W4" s="37"/>
      <c r="X4" s="37"/>
      <c r="Y4" s="37"/>
      <c r="Z4" s="45"/>
    </row>
    <row r="5" spans="1:40" ht="17.25" customHeight="1" thickBot="1" x14ac:dyDescent="0.75">
      <c r="A5" s="400"/>
      <c r="B5" s="57"/>
      <c r="C5" s="57"/>
      <c r="D5" s="57"/>
      <c r="E5" s="418"/>
      <c r="F5" s="418"/>
      <c r="G5" s="418"/>
      <c r="H5" s="418"/>
      <c r="I5" s="418"/>
      <c r="J5" s="418"/>
      <c r="K5" s="418"/>
      <c r="L5" s="57"/>
      <c r="M5" s="57"/>
      <c r="N5" s="57"/>
      <c r="O5" s="57"/>
      <c r="P5" s="57"/>
      <c r="Q5" s="29"/>
      <c r="R5" s="30"/>
      <c r="S5" s="31"/>
      <c r="T5" s="23"/>
      <c r="U5" s="51"/>
      <c r="V5" s="37"/>
      <c r="W5" s="37"/>
      <c r="X5" s="37"/>
      <c r="Y5" s="37"/>
      <c r="Z5" s="47" t="s">
        <v>110</v>
      </c>
    </row>
    <row r="6" spans="1:40" ht="41.25" customHeight="1" thickBot="1" x14ac:dyDescent="0.65">
      <c r="A6" s="400"/>
      <c r="B6" s="57"/>
      <c r="C6" s="57"/>
      <c r="D6" s="57"/>
      <c r="E6" s="418"/>
      <c r="F6" s="418"/>
      <c r="G6" s="418"/>
      <c r="H6" s="418"/>
      <c r="I6" s="418"/>
      <c r="J6" s="418"/>
      <c r="K6" s="418"/>
      <c r="L6" s="57"/>
      <c r="M6" s="57"/>
      <c r="N6" s="57"/>
      <c r="O6" s="401" t="s">
        <v>16</v>
      </c>
      <c r="P6" s="401"/>
      <c r="Q6" s="401"/>
      <c r="R6" s="401"/>
      <c r="S6" s="402"/>
      <c r="T6" s="234"/>
      <c r="U6" s="51"/>
      <c r="V6" s="37"/>
      <c r="W6" s="37"/>
      <c r="X6" s="37"/>
      <c r="Y6" s="37"/>
      <c r="Z6" s="48"/>
    </row>
    <row r="7" spans="1:40" ht="16.5" customHeight="1" thickBot="1" x14ac:dyDescent="0.65">
      <c r="A7" s="400"/>
      <c r="B7" s="57"/>
      <c r="C7" s="57"/>
      <c r="D7" s="57"/>
      <c r="E7" s="418"/>
      <c r="F7" s="418"/>
      <c r="G7" s="418"/>
      <c r="H7" s="418"/>
      <c r="I7" s="418"/>
      <c r="J7" s="418"/>
      <c r="K7" s="418"/>
      <c r="L7" s="57"/>
      <c r="M7" s="57"/>
      <c r="N7" s="57"/>
      <c r="O7" s="57"/>
      <c r="P7" s="57"/>
      <c r="Q7" s="120"/>
      <c r="R7" s="42"/>
      <c r="S7" s="42"/>
      <c r="T7" s="43"/>
      <c r="U7" s="43"/>
      <c r="V7" s="37"/>
      <c r="W7" s="37"/>
      <c r="X7" s="37"/>
      <c r="Y7" s="37"/>
      <c r="Z7" s="49" t="s">
        <v>111</v>
      </c>
    </row>
    <row r="8" spans="1:40" ht="41.25" customHeight="1" thickBot="1" x14ac:dyDescent="0.65">
      <c r="A8" s="416"/>
      <c r="B8" s="53"/>
      <c r="C8" s="53"/>
      <c r="D8" s="53"/>
      <c r="E8" s="418"/>
      <c r="F8" s="418"/>
      <c r="G8" s="418"/>
      <c r="H8" s="418"/>
      <c r="I8" s="418"/>
      <c r="J8" s="418"/>
      <c r="K8" s="418"/>
      <c r="L8" s="53"/>
      <c r="M8" s="53"/>
      <c r="N8" s="53"/>
      <c r="O8" s="435" t="s">
        <v>397</v>
      </c>
      <c r="P8" s="435"/>
      <c r="Q8" s="435"/>
      <c r="R8" s="435"/>
      <c r="S8" s="436"/>
      <c r="T8" s="425">
        <f>IF(IF((0.5*T4-T6)&lt;5000,(0.5*T4-T6),5000)&lt;0,0.000001,(IF((0.5*T4-T6)&lt;5000,(0.5*T4-T6),5000)))</f>
        <v>0</v>
      </c>
      <c r="U8" s="426"/>
      <c r="V8" s="37"/>
      <c r="W8" s="37"/>
      <c r="X8" s="37"/>
      <c r="Y8" s="37"/>
      <c r="Z8" s="50"/>
      <c r="AA8" s="321"/>
    </row>
    <row r="9" spans="1:40" ht="16.5" customHeight="1" thickBot="1" x14ac:dyDescent="0.65">
      <c r="A9" s="416"/>
      <c r="B9" s="56"/>
      <c r="C9" s="56"/>
      <c r="D9" s="56"/>
      <c r="E9" s="418"/>
      <c r="F9" s="418"/>
      <c r="G9" s="418"/>
      <c r="H9" s="418"/>
      <c r="I9" s="418"/>
      <c r="J9" s="418"/>
      <c r="K9" s="418"/>
      <c r="L9" s="56"/>
      <c r="M9" s="56"/>
      <c r="N9" s="56"/>
      <c r="O9" s="56"/>
      <c r="P9" s="56"/>
      <c r="Q9" s="41"/>
      <c r="R9" s="42"/>
      <c r="S9" s="42"/>
      <c r="T9" s="52"/>
      <c r="U9" s="52"/>
      <c r="V9" s="37"/>
      <c r="W9" s="37"/>
      <c r="X9" s="37"/>
      <c r="Y9" s="37"/>
      <c r="Z9" s="47" t="s">
        <v>112</v>
      </c>
    </row>
    <row r="10" spans="1:40" ht="41.25" customHeight="1" thickBot="1" x14ac:dyDescent="0.65">
      <c r="A10" s="416"/>
      <c r="B10" s="376"/>
      <c r="C10" s="376"/>
      <c r="D10" s="376"/>
      <c r="E10" s="418"/>
      <c r="F10" s="418"/>
      <c r="G10" s="418"/>
      <c r="H10" s="418"/>
      <c r="I10" s="418"/>
      <c r="J10" s="418"/>
      <c r="K10" s="418"/>
      <c r="L10" s="376"/>
      <c r="M10" s="376"/>
      <c r="N10" s="376"/>
      <c r="O10" s="414" t="s">
        <v>396</v>
      </c>
      <c r="P10" s="414"/>
      <c r="Q10" s="414"/>
      <c r="R10" s="414"/>
      <c r="S10" s="415"/>
      <c r="T10" s="427">
        <f>IFERROR(IF(V69&gt;T8,T8,V69),"")</f>
        <v>0</v>
      </c>
      <c r="U10" s="428"/>
      <c r="V10" s="37"/>
      <c r="W10" s="37"/>
      <c r="X10" s="37"/>
      <c r="Y10" s="37"/>
      <c r="Z10" s="121"/>
    </row>
    <row r="11" spans="1:40" ht="46.5" customHeight="1" thickBot="1" x14ac:dyDescent="0.75">
      <c r="A11" s="122"/>
      <c r="B11" s="151"/>
      <c r="C11" s="58"/>
      <c r="D11" s="58"/>
      <c r="E11" s="58"/>
      <c r="F11" s="58"/>
      <c r="G11" s="58"/>
      <c r="H11" s="151"/>
      <c r="I11" s="58"/>
      <c r="J11" s="58"/>
      <c r="K11" s="58"/>
      <c r="L11" s="58"/>
      <c r="M11" s="171"/>
      <c r="N11" s="170"/>
      <c r="O11" s="156"/>
      <c r="P11" s="158"/>
      <c r="Q11" s="24"/>
      <c r="R11" s="32"/>
      <c r="S11" s="33"/>
      <c r="T11" s="33"/>
      <c r="U11" s="4"/>
      <c r="V11" s="38"/>
      <c r="W11" s="37"/>
      <c r="X11" s="37"/>
      <c r="Y11" s="37"/>
      <c r="Z11" s="22"/>
    </row>
    <row r="12" spans="1:40" s="6" customFormat="1" ht="63" customHeight="1" thickBot="1" x14ac:dyDescent="0.25">
      <c r="A12" s="109" t="s">
        <v>0</v>
      </c>
      <c r="B12" s="110" t="s">
        <v>209</v>
      </c>
      <c r="C12" s="110" t="s">
        <v>19</v>
      </c>
      <c r="D12" s="110" t="s">
        <v>420</v>
      </c>
      <c r="E12" s="110" t="s">
        <v>93</v>
      </c>
      <c r="F12" s="110" t="s">
        <v>429</v>
      </c>
      <c r="G12" s="110" t="s">
        <v>207</v>
      </c>
      <c r="H12" s="110" t="s">
        <v>210</v>
      </c>
      <c r="I12" s="110" t="s">
        <v>204</v>
      </c>
      <c r="J12" s="110" t="s">
        <v>204</v>
      </c>
      <c r="K12" s="110" t="s">
        <v>98</v>
      </c>
      <c r="L12" s="110" t="s">
        <v>203</v>
      </c>
      <c r="M12" s="110" t="s">
        <v>208</v>
      </c>
      <c r="N12" s="110" t="s">
        <v>20</v>
      </c>
      <c r="O12" s="112" t="s">
        <v>94</v>
      </c>
      <c r="P12" s="110" t="s">
        <v>95</v>
      </c>
      <c r="Q12" s="153" t="s">
        <v>1</v>
      </c>
      <c r="R12" s="154" t="s">
        <v>13</v>
      </c>
      <c r="S12" s="110" t="s">
        <v>398</v>
      </c>
      <c r="T12" s="110" t="s">
        <v>12</v>
      </c>
      <c r="U12" s="111" t="s">
        <v>198</v>
      </c>
      <c r="V12" s="112" t="s">
        <v>399</v>
      </c>
      <c r="W12" s="286" t="s">
        <v>400</v>
      </c>
      <c r="X12" s="286" t="s">
        <v>287</v>
      </c>
      <c r="Y12" s="286" t="s">
        <v>370</v>
      </c>
      <c r="Z12" s="5" t="s">
        <v>15</v>
      </c>
      <c r="AA12" s="2"/>
      <c r="AB12" s="2"/>
      <c r="AC12" s="2"/>
      <c r="AD12" s="2"/>
      <c r="AE12" s="2"/>
      <c r="AF12" s="2"/>
      <c r="AG12" s="2"/>
      <c r="AH12" s="2"/>
      <c r="AI12" s="2"/>
      <c r="AJ12" s="2"/>
      <c r="AK12" s="2"/>
      <c r="AL12" s="2"/>
      <c r="AM12" s="2"/>
      <c r="AN12" s="2"/>
    </row>
    <row r="13" spans="1:40" s="9" customFormat="1" ht="15.75" hidden="1" thickBot="1" x14ac:dyDescent="0.25">
      <c r="A13" s="113" t="s">
        <v>5</v>
      </c>
      <c r="B13" s="152"/>
      <c r="C13" s="11"/>
      <c r="D13" s="11"/>
      <c r="E13" s="11"/>
      <c r="F13" s="11"/>
      <c r="G13" s="11"/>
      <c r="H13" s="152"/>
      <c r="I13" s="11"/>
      <c r="J13" s="11"/>
      <c r="K13" s="11"/>
      <c r="L13" s="11"/>
      <c r="M13" s="11"/>
      <c r="N13" s="11"/>
      <c r="O13" s="11"/>
      <c r="P13" s="11"/>
      <c r="Q13" s="11"/>
      <c r="R13" s="11"/>
      <c r="S13" s="11"/>
      <c r="T13" s="11"/>
      <c r="U13" s="7"/>
      <c r="V13" s="11"/>
      <c r="W13" s="11"/>
      <c r="X13" s="11"/>
      <c r="Y13" s="11"/>
      <c r="Z13" s="10"/>
      <c r="AA13" s="8"/>
      <c r="AB13" s="8"/>
      <c r="AC13" s="8"/>
      <c r="AD13" s="8"/>
      <c r="AE13" s="8"/>
      <c r="AF13" s="8"/>
      <c r="AG13" s="8"/>
      <c r="AH13" s="8"/>
      <c r="AI13" s="8"/>
      <c r="AJ13" s="8"/>
      <c r="AK13" s="8"/>
      <c r="AL13" s="8"/>
      <c r="AM13" s="8"/>
      <c r="AN13" s="8"/>
    </row>
    <row r="14" spans="1:40" s="6" customFormat="1" hidden="1" x14ac:dyDescent="0.2">
      <c r="A14" s="269"/>
      <c r="B14" s="117"/>
      <c r="C14" s="117"/>
      <c r="D14" s="117"/>
      <c r="E14" s="117"/>
      <c r="F14" s="117"/>
      <c r="G14" s="117"/>
      <c r="H14" s="117"/>
      <c r="I14" s="117"/>
      <c r="J14" s="117"/>
      <c r="K14" s="117"/>
      <c r="L14" s="117"/>
      <c r="M14" s="117"/>
      <c r="N14" s="117"/>
      <c r="O14" s="117"/>
      <c r="P14" s="117"/>
      <c r="Q14" s="117"/>
      <c r="R14" s="117"/>
      <c r="S14" s="117"/>
      <c r="T14" s="117"/>
      <c r="U14" s="270" t="s">
        <v>374</v>
      </c>
      <c r="V14" s="271"/>
      <c r="W14" s="274" t="s">
        <v>351</v>
      </c>
      <c r="X14" s="274"/>
      <c r="Y14" s="274" t="s">
        <v>351</v>
      </c>
      <c r="Z14" s="272"/>
      <c r="AA14" s="2"/>
      <c r="AB14" s="2"/>
      <c r="AC14" s="2"/>
      <c r="AD14" s="2"/>
      <c r="AE14" s="2"/>
      <c r="AF14" s="2"/>
      <c r="AG14" s="2"/>
      <c r="AH14" s="2"/>
      <c r="AI14" s="2"/>
      <c r="AJ14" s="2"/>
      <c r="AK14" s="2"/>
      <c r="AL14" s="2"/>
      <c r="AM14" s="2"/>
      <c r="AN14" s="2"/>
    </row>
    <row r="15" spans="1:40" s="9" customFormat="1" ht="93" hidden="1" customHeight="1" x14ac:dyDescent="0.2">
      <c r="A15" s="347" t="s">
        <v>387</v>
      </c>
      <c r="B15" s="333"/>
      <c r="C15" s="334"/>
      <c r="D15" s="342"/>
      <c r="E15" s="316" t="s">
        <v>374</v>
      </c>
      <c r="F15" s="345"/>
      <c r="G15" s="116" t="s">
        <v>104</v>
      </c>
      <c r="H15" s="334"/>
      <c r="I15" s="345"/>
      <c r="J15" s="349" t="str">
        <f>IFERROR(IF(I15="",VLOOKUP(M15,Baseline_Eff_lookup,2,FALSE),I15),"")</f>
        <v/>
      </c>
      <c r="K15" s="346" t="s">
        <v>99</v>
      </c>
      <c r="L15" s="341"/>
      <c r="M15" s="337" t="str">
        <f>IFERROR(VLOOKUP(L15,DateRange_lookup,2,FALSE),"")</f>
        <v/>
      </c>
      <c r="N15" s="337" t="str">
        <f>IFERROR(VLOOKUP(C15,EFLH_lookup,3,FALSE),"")</f>
        <v/>
      </c>
      <c r="O15" s="350" t="str">
        <f>IFERROR(((((D15*1000)*F15/(IF(H15="yes",J15*(1-Lookups!$I$10)^(2016-'HVAC Rebate Estimator'!L15),Lookups!$B$30)))-(D15*1000))*N15/1000000)*B15,"")</f>
        <v/>
      </c>
      <c r="P15" s="241" t="s">
        <v>107</v>
      </c>
      <c r="Q15" s="351">
        <v>510.3</v>
      </c>
      <c r="R15" s="353" t="s">
        <v>350</v>
      </c>
      <c r="S15" s="338">
        <f>IF(H15="yes",IF(F15="",'Incremental Cost'!$M$11,IF(F15=92%,'Incremental Cost'!$M$11,('Incremental Cost'!$M$11+('Incremental Cost'!$Q4*((F15-92%)*100))))),IF(F15="",'Incremental Cost'!$L$11,IF(F15=92%,'Incremental Cost'!$L$11,('Incremental Cost'!$L$11+('Incremental Cost'!$Q4*((F15-92%)*100))))))</f>
        <v>2.5</v>
      </c>
      <c r="T15" s="116" t="s">
        <v>376</v>
      </c>
      <c r="U15" s="354">
        <f>D15</f>
        <v>0</v>
      </c>
      <c r="V15" s="314">
        <f>IF((U15*S15)*B15&gt;5000,5000,(U15*S15)*B15)</f>
        <v>0</v>
      </c>
      <c r="W15" s="287" t="str">
        <f>IFERROR(V15/((O15*10)*Lookups!$M$4),"")</f>
        <v/>
      </c>
      <c r="X15" s="287">
        <f>IFERROR(U15*'Incremental Cost'!$K$11,"")</f>
        <v>0</v>
      </c>
      <c r="Y15" s="288" t="str">
        <f>IFERROR((V15+X15)/(O15*10*Lookups!$M$4),"")</f>
        <v/>
      </c>
      <c r="Z15" s="273" t="s">
        <v>388</v>
      </c>
      <c r="AA15" s="8"/>
      <c r="AB15" s="8"/>
      <c r="AC15" s="8"/>
      <c r="AD15" s="8"/>
      <c r="AE15" s="8"/>
      <c r="AF15" s="8"/>
      <c r="AG15" s="8"/>
      <c r="AH15" s="8"/>
      <c r="AI15" s="8"/>
      <c r="AJ15" s="8"/>
      <c r="AK15" s="8"/>
      <c r="AL15" s="8"/>
      <c r="AM15" s="8"/>
      <c r="AN15" s="8"/>
    </row>
    <row r="16" spans="1:40" s="9" customFormat="1" ht="93" hidden="1" customHeight="1" x14ac:dyDescent="0.2">
      <c r="A16" s="347" t="s">
        <v>387</v>
      </c>
      <c r="B16" s="333"/>
      <c r="C16" s="334"/>
      <c r="D16" s="342"/>
      <c r="E16" s="316" t="s">
        <v>374</v>
      </c>
      <c r="F16" s="345"/>
      <c r="G16" s="116" t="s">
        <v>104</v>
      </c>
      <c r="H16" s="334"/>
      <c r="I16" s="345"/>
      <c r="J16" s="349" t="str">
        <f>IFERROR(IF(I16="",VLOOKUP(M16,Baseline_Eff_lookup,2,FALSE),I16),"")</f>
        <v/>
      </c>
      <c r="K16" s="346" t="s">
        <v>99</v>
      </c>
      <c r="L16" s="341"/>
      <c r="M16" s="337" t="str">
        <f>IFERROR(VLOOKUP(L16,DateRange_lookup,2,FALSE),"")</f>
        <v/>
      </c>
      <c r="N16" s="337" t="str">
        <f>IFERROR(VLOOKUP(C16,EFLH_lookup,3,FALSE),"")</f>
        <v/>
      </c>
      <c r="O16" s="350" t="str">
        <f>IFERROR(((((D16*1000)*F16/(IF(H16="yes",J16*(1-Lookups!$I$10)^(2016-'HVAC Rebate Estimator'!L16),Lookups!$B$30)))-(D16*1000))*N16/1000000)*B16,"")</f>
        <v/>
      </c>
      <c r="P16" s="241" t="s">
        <v>107</v>
      </c>
      <c r="Q16" s="351">
        <v>510.3</v>
      </c>
      <c r="R16" s="353" t="s">
        <v>350</v>
      </c>
      <c r="S16" s="338">
        <f>IF(H16="yes",IF(F16="",'Incremental Cost'!$M$11,IF(F16=92%,'Incremental Cost'!$M$11,('Incremental Cost'!$M$11+('Incremental Cost'!$Q5*((F16-92%)*100))))),IF(F16="",'Incremental Cost'!$L$11,IF(F16=92%,'Incremental Cost'!$L$11,('Incremental Cost'!$L$11+('Incremental Cost'!$Q5*((F16-92%)*100))))))</f>
        <v>2.5</v>
      </c>
      <c r="T16" s="116" t="s">
        <v>376</v>
      </c>
      <c r="U16" s="354">
        <f>D16</f>
        <v>0</v>
      </c>
      <c r="V16" s="314">
        <f>IF((U16*S16)*B16&gt;5000,5000,(U16*S16)*B16)</f>
        <v>0</v>
      </c>
      <c r="W16" s="287" t="str">
        <f>IFERROR(V16/((O16*10)*Lookups!$M$4),"")</f>
        <v/>
      </c>
      <c r="X16" s="287">
        <f>IFERROR(U16*'Incremental Cost'!$K$11,"")</f>
        <v>0</v>
      </c>
      <c r="Y16" s="288" t="str">
        <f>IFERROR((V16+X16)/(O16*10*Lookups!$M$4),"")</f>
        <v/>
      </c>
      <c r="Z16" s="273" t="s">
        <v>388</v>
      </c>
      <c r="AA16" s="8"/>
      <c r="AB16" s="8"/>
      <c r="AC16" s="8"/>
      <c r="AD16" s="8"/>
      <c r="AE16" s="8"/>
      <c r="AF16" s="8"/>
      <c r="AG16" s="8"/>
      <c r="AH16" s="8"/>
      <c r="AI16" s="8"/>
      <c r="AJ16" s="8"/>
      <c r="AK16" s="8"/>
      <c r="AL16" s="8"/>
      <c r="AM16" s="8"/>
      <c r="AN16" s="8"/>
    </row>
    <row r="17" spans="1:40" s="9" customFormat="1" ht="93" hidden="1" customHeight="1" x14ac:dyDescent="0.2">
      <c r="A17" s="347" t="s">
        <v>387</v>
      </c>
      <c r="B17" s="333"/>
      <c r="C17" s="334"/>
      <c r="D17" s="342"/>
      <c r="E17" s="316" t="s">
        <v>374</v>
      </c>
      <c r="F17" s="345"/>
      <c r="G17" s="116" t="s">
        <v>104</v>
      </c>
      <c r="H17" s="334"/>
      <c r="I17" s="345"/>
      <c r="J17" s="349" t="str">
        <f>IFERROR(IF(I17="",VLOOKUP(M17,Baseline_Eff_lookup,2,FALSE),I17),"")</f>
        <v/>
      </c>
      <c r="K17" s="346" t="s">
        <v>99</v>
      </c>
      <c r="L17" s="341"/>
      <c r="M17" s="337" t="str">
        <f>IFERROR(VLOOKUP(L17,DateRange_lookup,2,FALSE),"")</f>
        <v/>
      </c>
      <c r="N17" s="337" t="str">
        <f>IFERROR(VLOOKUP(C17,EFLH_lookup,3,FALSE),"")</f>
        <v/>
      </c>
      <c r="O17" s="350" t="str">
        <f>IFERROR(((((D17*1000)*F17/(IF(H17="yes",J17*(1-Lookups!$I$10)^(2016-'HVAC Rebate Estimator'!L17),Lookups!$B$30)))-(D17*1000))*N17/1000000)*B17,"")</f>
        <v/>
      </c>
      <c r="P17" s="241" t="s">
        <v>107</v>
      </c>
      <c r="Q17" s="351">
        <v>510.3</v>
      </c>
      <c r="R17" s="353" t="s">
        <v>350</v>
      </c>
      <c r="S17" s="338">
        <f>IF(H17="yes",IF(F17="",'Incremental Cost'!$M$11,IF(F17=92%,'Incremental Cost'!$M$11,('Incremental Cost'!$M$11+('Incremental Cost'!$Q6*((F17-92%)*100))))),IF(F17="",'Incremental Cost'!$L$11,IF(F17=92%,'Incremental Cost'!$L$11,('Incremental Cost'!$L$11+('Incremental Cost'!$Q6*((F17-92%)*100))))))</f>
        <v>2.5</v>
      </c>
      <c r="T17" s="116" t="s">
        <v>376</v>
      </c>
      <c r="U17" s="354">
        <f>D17</f>
        <v>0</v>
      </c>
      <c r="V17" s="314">
        <f>IF((U17*S17)*B17&gt;5000,5000,(U17*S17)*B17)</f>
        <v>0</v>
      </c>
      <c r="W17" s="287" t="str">
        <f>IFERROR(V17/((O17*10)*Lookups!$M$4),"")</f>
        <v/>
      </c>
      <c r="X17" s="287">
        <f>IFERROR(U17*'Incremental Cost'!$K$11,"")</f>
        <v>0</v>
      </c>
      <c r="Y17" s="288" t="str">
        <f>IFERROR((V17+X17)/(O17*10*Lookups!$M$4),"")</f>
        <v/>
      </c>
      <c r="Z17" s="273" t="s">
        <v>388</v>
      </c>
      <c r="AA17" s="8"/>
      <c r="AB17" s="8"/>
      <c r="AC17" s="8"/>
      <c r="AD17" s="8"/>
      <c r="AE17" s="8"/>
      <c r="AF17" s="8"/>
      <c r="AG17" s="8"/>
      <c r="AH17" s="8"/>
      <c r="AI17" s="8"/>
      <c r="AJ17" s="8"/>
      <c r="AK17" s="8"/>
      <c r="AL17" s="8"/>
      <c r="AM17" s="8"/>
      <c r="AN17" s="8"/>
    </row>
    <row r="18" spans="1:40" s="9" customFormat="1" ht="93" hidden="1" customHeight="1" x14ac:dyDescent="0.2">
      <c r="A18" s="347" t="s">
        <v>387</v>
      </c>
      <c r="B18" s="333"/>
      <c r="C18" s="334"/>
      <c r="D18" s="342"/>
      <c r="E18" s="316" t="s">
        <v>374</v>
      </c>
      <c r="F18" s="345"/>
      <c r="G18" s="116" t="s">
        <v>104</v>
      </c>
      <c r="H18" s="334"/>
      <c r="I18" s="345"/>
      <c r="J18" s="349" t="str">
        <f>IFERROR(IF(I18="",VLOOKUP(M18,Baseline_Eff_lookup,2,FALSE),I18),"")</f>
        <v/>
      </c>
      <c r="K18" s="346" t="s">
        <v>99</v>
      </c>
      <c r="L18" s="341"/>
      <c r="M18" s="337" t="str">
        <f>IFERROR(VLOOKUP(L18,DateRange_lookup,2,FALSE),"")</f>
        <v/>
      </c>
      <c r="N18" s="337" t="str">
        <f>IFERROR(VLOOKUP(C18,EFLH_lookup,3,FALSE),"")</f>
        <v/>
      </c>
      <c r="O18" s="350" t="str">
        <f>IFERROR(((((D18*1000)*F18/(IF(H18="yes",J18*(1-Lookups!$I$10)^(2016-'HVAC Rebate Estimator'!L18),Lookups!$B$30)))-(D18*1000))*N18/1000000)*B18,"")</f>
        <v/>
      </c>
      <c r="P18" s="241" t="s">
        <v>107</v>
      </c>
      <c r="Q18" s="351">
        <v>510.3</v>
      </c>
      <c r="R18" s="353" t="s">
        <v>350</v>
      </c>
      <c r="S18" s="338">
        <f>IF(H18="yes",IF(F18="",'Incremental Cost'!$M$11,IF(F18=92%,'Incremental Cost'!$M$11,('Incremental Cost'!$M$11+('Incremental Cost'!$Q7*((F18-92%)*100))))),IF(F18="",'Incremental Cost'!$L$11,IF(F18=92%,'Incremental Cost'!$L$11,('Incremental Cost'!$L$11+('Incremental Cost'!$Q7*((F18-92%)*100))))))</f>
        <v>2.5</v>
      </c>
      <c r="T18" s="116" t="s">
        <v>376</v>
      </c>
      <c r="U18" s="354">
        <f>D18</f>
        <v>0</v>
      </c>
      <c r="V18" s="314">
        <f>IF((U18*S18)*B18&gt;5000,5000,(U18*S18)*B18)</f>
        <v>0</v>
      </c>
      <c r="W18" s="287" t="str">
        <f>IFERROR(V18/((O18*10)*Lookups!$M$4),"")</f>
        <v/>
      </c>
      <c r="X18" s="287">
        <f>IFERROR(U18*'Incremental Cost'!$K$11,"")</f>
        <v>0</v>
      </c>
      <c r="Y18" s="288" t="str">
        <f>IFERROR((V18+X18)/(O18*10*Lookups!$M$4),"")</f>
        <v/>
      </c>
      <c r="Z18" s="273" t="s">
        <v>388</v>
      </c>
      <c r="AA18" s="8"/>
      <c r="AB18" s="8"/>
      <c r="AC18" s="8"/>
      <c r="AD18" s="8"/>
      <c r="AE18" s="8"/>
      <c r="AF18" s="8"/>
      <c r="AG18" s="8"/>
      <c r="AH18" s="8"/>
      <c r="AI18" s="8"/>
      <c r="AJ18" s="8"/>
      <c r="AK18" s="8"/>
      <c r="AL18" s="8"/>
      <c r="AM18" s="8"/>
      <c r="AN18" s="8"/>
    </row>
    <row r="19" spans="1:40" s="9" customFormat="1" ht="93" hidden="1" customHeight="1" x14ac:dyDescent="0.2">
      <c r="A19" s="347" t="s">
        <v>387</v>
      </c>
      <c r="B19" s="333"/>
      <c r="C19" s="334"/>
      <c r="D19" s="342"/>
      <c r="E19" s="316" t="s">
        <v>374</v>
      </c>
      <c r="F19" s="345"/>
      <c r="G19" s="116" t="s">
        <v>104</v>
      </c>
      <c r="H19" s="334"/>
      <c r="I19" s="345"/>
      <c r="J19" s="349" t="str">
        <f>IFERROR(IF(I19="",VLOOKUP(M19,Baseline_Eff_lookup,2,FALSE),I19),"")</f>
        <v/>
      </c>
      <c r="K19" s="346" t="s">
        <v>99</v>
      </c>
      <c r="L19" s="341"/>
      <c r="M19" s="337" t="str">
        <f>IFERROR(VLOOKUP(L19,DateRange_lookup,2,FALSE),"")</f>
        <v/>
      </c>
      <c r="N19" s="337" t="str">
        <f>IFERROR(VLOOKUP(C19,EFLH_lookup,3,FALSE),"")</f>
        <v/>
      </c>
      <c r="O19" s="350" t="str">
        <f>IFERROR(((((D19*1000)*F19/(IF(H19="yes",J19*(1-Lookups!$I$10)^(2016-'HVAC Rebate Estimator'!L19),Lookups!$B$30)))-(D19*1000))*N19/1000000)*B19,"")</f>
        <v/>
      </c>
      <c r="P19" s="241" t="s">
        <v>107</v>
      </c>
      <c r="Q19" s="351">
        <v>510.3</v>
      </c>
      <c r="R19" s="353" t="s">
        <v>350</v>
      </c>
      <c r="S19" s="338">
        <f>IF(H19="yes",IF(F19="",'Incremental Cost'!$M$11,IF(F19=92%,'Incremental Cost'!$M$11,('Incremental Cost'!$M$11+('Incremental Cost'!$Q8*((F19-92%)*100))))),IF(F19="",'Incremental Cost'!$L$11,IF(F19=92%,'Incremental Cost'!$L$11,('Incremental Cost'!$L$11+('Incremental Cost'!$Q8*((F19-92%)*100))))))</f>
        <v>2.5</v>
      </c>
      <c r="T19" s="116" t="s">
        <v>376</v>
      </c>
      <c r="U19" s="354">
        <f>D19</f>
        <v>0</v>
      </c>
      <c r="V19" s="314">
        <f>IF((U19*S19)*B19&gt;5000,5000,(U19*S19)*B19)</f>
        <v>0</v>
      </c>
      <c r="W19" s="287" t="str">
        <f>IFERROR(V19/((O19*10)*Lookups!$M$4),"")</f>
        <v/>
      </c>
      <c r="X19" s="287">
        <f>IFERROR(U19*'Incremental Cost'!$K$11,"")</f>
        <v>0</v>
      </c>
      <c r="Y19" s="288" t="str">
        <f>IFERROR((V19+X19)/(O19*10*Lookups!$M$4),"")</f>
        <v/>
      </c>
      <c r="Z19" s="273" t="s">
        <v>388</v>
      </c>
      <c r="AA19" s="8"/>
      <c r="AB19" s="8"/>
      <c r="AC19" s="8"/>
      <c r="AD19" s="8"/>
      <c r="AE19" s="8"/>
      <c r="AF19" s="8"/>
      <c r="AG19" s="8"/>
      <c r="AH19" s="8"/>
      <c r="AI19" s="8"/>
      <c r="AJ19" s="8"/>
      <c r="AK19" s="8"/>
      <c r="AL19" s="8"/>
      <c r="AM19" s="8"/>
      <c r="AN19" s="8"/>
    </row>
    <row r="20" spans="1:40" s="6" customFormat="1" hidden="1" x14ac:dyDescent="0.2">
      <c r="A20" s="264"/>
      <c r="B20" s="19"/>
      <c r="C20" s="19"/>
      <c r="D20" s="19"/>
      <c r="E20" s="19"/>
      <c r="F20" s="19"/>
      <c r="G20" s="19"/>
      <c r="H20" s="19"/>
      <c r="I20" s="19"/>
      <c r="J20" s="19"/>
      <c r="K20" s="19"/>
      <c r="L20" s="19"/>
      <c r="M20" s="19"/>
      <c r="N20" s="19"/>
      <c r="O20" s="105"/>
      <c r="P20" s="19"/>
      <c r="Q20" s="19"/>
      <c r="R20" s="19"/>
      <c r="S20" s="19"/>
      <c r="T20" s="19"/>
      <c r="U20" s="12" t="s">
        <v>105</v>
      </c>
      <c r="V20" s="251"/>
      <c r="W20" s="39"/>
      <c r="X20" s="39"/>
      <c r="Y20" s="39"/>
      <c r="Z20" s="265"/>
      <c r="AA20" s="2"/>
      <c r="AB20" s="2"/>
      <c r="AC20" s="2"/>
      <c r="AD20" s="2"/>
      <c r="AE20" s="2"/>
      <c r="AF20" s="2"/>
      <c r="AG20" s="2"/>
      <c r="AH20" s="2"/>
      <c r="AI20" s="2"/>
      <c r="AJ20" s="2"/>
      <c r="AK20" s="2"/>
      <c r="AL20" s="2"/>
      <c r="AM20" s="2"/>
      <c r="AN20" s="2"/>
    </row>
    <row r="21" spans="1:40" s="9" customFormat="1" ht="61.9" hidden="1" customHeight="1" thickBot="1" x14ac:dyDescent="0.25">
      <c r="A21" s="344" t="s">
        <v>375</v>
      </c>
      <c r="B21" s="333"/>
      <c r="C21" s="334"/>
      <c r="D21" s="315"/>
      <c r="E21" s="316" t="s">
        <v>374</v>
      </c>
      <c r="F21" s="345"/>
      <c r="G21" s="116"/>
      <c r="H21" s="334"/>
      <c r="I21" s="345"/>
      <c r="J21" s="349" t="str">
        <f>IFERROR(IF(I21="",VLOOKUP(M21,Baseline_Eff_lookup,4,FALSE),I21),"")</f>
        <v/>
      </c>
      <c r="K21" s="346" t="s">
        <v>99</v>
      </c>
      <c r="L21" s="341"/>
      <c r="M21" s="337" t="str">
        <f>IFERROR(VLOOKUP(L21,DateRange_lookup,2,FALSE),"")</f>
        <v/>
      </c>
      <c r="N21" s="337" t="str">
        <f>IFERROR(VLOOKUP(C21,EFLH_lookup,3,FALSE),"")</f>
        <v/>
      </c>
      <c r="O21" s="350" t="str">
        <f>IFERROR(((((D21*1000)*F21/(IF(H21="yes",J21*(1-Lookups!$I$10)^(2016-'HVAC Rebate Estimator'!L21),Lookups!$D$30)))-(D21*1000))*N21/1000000)*B21,"")</f>
        <v/>
      </c>
      <c r="P21" s="241" t="s">
        <v>107</v>
      </c>
      <c r="Q21" s="351">
        <v>4071</v>
      </c>
      <c r="R21" s="316" t="s">
        <v>7</v>
      </c>
      <c r="S21" s="317">
        <f>ROUND(IF(H21="yes",IF(F21="",'Incremental Cost'!$I$25,IF(F21=92%,'Incremental Cost'!$I$25,('Incremental Cost'!$I$25+'Incremental Cost'!$M16))),IF(F21="",'Incremental Cost'!$H$25,IF(F21=92%,'Incremental Cost'!$H$25,('Incremental Cost'!$H$25+'Incremental Cost'!$M16)))),0)</f>
        <v>100</v>
      </c>
      <c r="T21" s="312" t="s">
        <v>2</v>
      </c>
      <c r="U21" s="352">
        <f>B21</f>
        <v>0</v>
      </c>
      <c r="V21" s="314">
        <f>IF((U21*S21)&gt;5000,5000,(U21*S21))</f>
        <v>0</v>
      </c>
      <c r="W21" s="287" t="str">
        <f>IFERROR(V21/((O21*10)*Lookups!$M$4),"")</f>
        <v/>
      </c>
      <c r="X21" s="287">
        <f>'Incremental Cost'!$G$25</f>
        <v>80</v>
      </c>
      <c r="Y21" s="288" t="str">
        <f>IFERROR((V21+X21)/(O21*10*Lookups!$M$4),"")</f>
        <v/>
      </c>
      <c r="Z21" s="263" t="s">
        <v>395</v>
      </c>
      <c r="AA21" s="8"/>
      <c r="AB21" s="8"/>
      <c r="AC21" s="8"/>
      <c r="AD21" s="8"/>
      <c r="AE21" s="8"/>
      <c r="AF21" s="8"/>
      <c r="AG21" s="8"/>
      <c r="AH21" s="8"/>
      <c r="AI21" s="8"/>
      <c r="AJ21" s="8"/>
      <c r="AK21" s="8"/>
      <c r="AL21" s="8"/>
      <c r="AM21" s="8"/>
      <c r="AN21" s="8"/>
    </row>
    <row r="22" spans="1:40" s="9" customFormat="1" ht="61.9" hidden="1" customHeight="1" thickBot="1" x14ac:dyDescent="0.25">
      <c r="A22" s="344" t="s">
        <v>375</v>
      </c>
      <c r="B22" s="333"/>
      <c r="C22" s="334"/>
      <c r="D22" s="315"/>
      <c r="E22" s="316" t="s">
        <v>374</v>
      </c>
      <c r="F22" s="345"/>
      <c r="G22" s="116"/>
      <c r="H22" s="334"/>
      <c r="I22" s="345"/>
      <c r="J22" s="349" t="str">
        <f>IFERROR(IF(I22="",VLOOKUP(M22,Baseline_Eff_lookup,4,FALSE),I22),"")</f>
        <v/>
      </c>
      <c r="K22" s="346" t="s">
        <v>99</v>
      </c>
      <c r="L22" s="341"/>
      <c r="M22" s="337" t="str">
        <f>IFERROR(VLOOKUP(L22,DateRange_lookup,2,FALSE),"")</f>
        <v/>
      </c>
      <c r="N22" s="337" t="str">
        <f>IFERROR(VLOOKUP(C22,EFLH_lookup,3,FALSE),"")</f>
        <v/>
      </c>
      <c r="O22" s="350" t="str">
        <f>IFERROR(((((D22*1000)*F22/(IF(H22="yes",J22*(1-Lookups!$I$10)^(2016-'HVAC Rebate Estimator'!L22),Lookups!$D$30)))-(D22*1000))*N22/1000000)*B22,"")</f>
        <v/>
      </c>
      <c r="P22" s="241" t="s">
        <v>107</v>
      </c>
      <c r="Q22" s="351">
        <v>4071</v>
      </c>
      <c r="R22" s="316" t="s">
        <v>7</v>
      </c>
      <c r="S22" s="375">
        <f>ROUND(IF(H22="yes",IF(F22="",'Incremental Cost'!$I$25,IF(F22=92%,'Incremental Cost'!$I$25,('Incremental Cost'!$I$25+'Incremental Cost'!$M17))),IF(F22="",'Incremental Cost'!$H$25,IF(F22=92%,'Incremental Cost'!$H$25,('Incremental Cost'!$H$25+'Incremental Cost'!$M17)))),0)</f>
        <v>100</v>
      </c>
      <c r="T22" s="312" t="s">
        <v>2</v>
      </c>
      <c r="U22" s="352">
        <f>B22</f>
        <v>0</v>
      </c>
      <c r="V22" s="314">
        <f>IF((U22*S22)&gt;5000,5000,(U22*S22))</f>
        <v>0</v>
      </c>
      <c r="W22" s="287" t="str">
        <f>IFERROR(V22/((O22*10)*Lookups!$M$4),"")</f>
        <v/>
      </c>
      <c r="X22" s="287">
        <f>'Incremental Cost'!$G$25</f>
        <v>80</v>
      </c>
      <c r="Y22" s="288" t="str">
        <f>IFERROR((V22+X22)/(O22*10*Lookups!$M$4),"")</f>
        <v/>
      </c>
      <c r="Z22" s="263" t="s">
        <v>372</v>
      </c>
      <c r="AA22" s="8"/>
      <c r="AB22" s="8"/>
      <c r="AC22" s="8"/>
      <c r="AD22" s="8"/>
      <c r="AE22" s="8"/>
      <c r="AF22" s="8"/>
      <c r="AG22" s="8"/>
      <c r="AH22" s="8"/>
      <c r="AI22" s="8"/>
      <c r="AJ22" s="8"/>
      <c r="AK22" s="8"/>
      <c r="AL22" s="8"/>
      <c r="AM22" s="8"/>
      <c r="AN22" s="8"/>
    </row>
    <row r="23" spans="1:40" s="9" customFormat="1" ht="61.9" hidden="1" customHeight="1" thickBot="1" x14ac:dyDescent="0.25">
      <c r="A23" s="344" t="s">
        <v>375</v>
      </c>
      <c r="B23" s="333"/>
      <c r="C23" s="334"/>
      <c r="D23" s="315"/>
      <c r="E23" s="316" t="s">
        <v>374</v>
      </c>
      <c r="F23" s="345"/>
      <c r="G23" s="116"/>
      <c r="H23" s="334"/>
      <c r="I23" s="345"/>
      <c r="J23" s="349" t="str">
        <f>IFERROR(IF(I23="",VLOOKUP(M23,Baseline_Eff_lookup,4,FALSE),I23),"")</f>
        <v/>
      </c>
      <c r="K23" s="346" t="s">
        <v>99</v>
      </c>
      <c r="L23" s="341"/>
      <c r="M23" s="337" t="str">
        <f>IFERROR(VLOOKUP(L23,DateRange_lookup,2,FALSE),"")</f>
        <v/>
      </c>
      <c r="N23" s="337" t="str">
        <f>IFERROR(VLOOKUP(C23,EFLH_lookup,3,FALSE),"")</f>
        <v/>
      </c>
      <c r="O23" s="350" t="str">
        <f>IFERROR(((((D23*1000)*F23/(IF(H23="yes",J23*(1-Lookups!$I$10)^(2016-'HVAC Rebate Estimator'!L23),Lookups!$D$30)))-(D23*1000))*N23/1000000)*B23,"")</f>
        <v/>
      </c>
      <c r="P23" s="241" t="s">
        <v>107</v>
      </c>
      <c r="Q23" s="351">
        <v>4071</v>
      </c>
      <c r="R23" s="316" t="s">
        <v>7</v>
      </c>
      <c r="S23" s="375">
        <f>ROUND(IF(H23="yes",IF(F23="",'Incremental Cost'!$I$25,IF(F23=92%,'Incremental Cost'!$I$25,('Incremental Cost'!$I$25+'Incremental Cost'!$M18))),IF(F23="",'Incremental Cost'!$H$25,IF(F23=92%,'Incremental Cost'!$H$25,('Incremental Cost'!$H$25+'Incremental Cost'!$M18)))),0)</f>
        <v>100</v>
      </c>
      <c r="T23" s="312" t="s">
        <v>2</v>
      </c>
      <c r="U23" s="352">
        <f>B23</f>
        <v>0</v>
      </c>
      <c r="V23" s="320">
        <f>IF((U23*S23)&gt;5000,5000,(U23*S23))</f>
        <v>0</v>
      </c>
      <c r="W23" s="287" t="str">
        <f>IFERROR(V23/((O23*10)*Lookups!$M$4),"")</f>
        <v/>
      </c>
      <c r="X23" s="287">
        <f>'Incremental Cost'!$G$25</f>
        <v>80</v>
      </c>
      <c r="Y23" s="288" t="str">
        <f>IFERROR((V23+X23)/(O23*10*Lookups!$M$4),"")</f>
        <v/>
      </c>
      <c r="Z23" s="263" t="s">
        <v>372</v>
      </c>
      <c r="AA23" s="8"/>
      <c r="AB23" s="8"/>
      <c r="AC23" s="8"/>
      <c r="AD23" s="8"/>
      <c r="AE23" s="8"/>
      <c r="AF23" s="8"/>
      <c r="AG23" s="8"/>
      <c r="AH23" s="8"/>
      <c r="AI23" s="8"/>
      <c r="AJ23" s="8"/>
      <c r="AK23" s="8"/>
      <c r="AL23" s="8"/>
      <c r="AM23" s="8"/>
      <c r="AN23" s="8"/>
    </row>
    <row r="24" spans="1:40" s="9" customFormat="1" ht="61.9" hidden="1" customHeight="1" thickBot="1" x14ac:dyDescent="0.25">
      <c r="A24" s="344" t="s">
        <v>375</v>
      </c>
      <c r="B24" s="333"/>
      <c r="C24" s="334"/>
      <c r="D24" s="315"/>
      <c r="E24" s="316" t="s">
        <v>374</v>
      </c>
      <c r="F24" s="345"/>
      <c r="G24" s="116"/>
      <c r="H24" s="334"/>
      <c r="I24" s="345"/>
      <c r="J24" s="349" t="str">
        <f>IFERROR(IF(I24="",VLOOKUP(M24,Baseline_Eff_lookup,4,FALSE),I24),"")</f>
        <v/>
      </c>
      <c r="K24" s="346" t="s">
        <v>99</v>
      </c>
      <c r="L24" s="341"/>
      <c r="M24" s="337" t="str">
        <f>IFERROR(VLOOKUP(L24,DateRange_lookup,2,FALSE),"")</f>
        <v/>
      </c>
      <c r="N24" s="337" t="str">
        <f>IFERROR(VLOOKUP(C24,EFLH_lookup,3,FALSE),"")</f>
        <v/>
      </c>
      <c r="O24" s="350" t="str">
        <f>IFERROR(((((D24*1000)*F24/(IF(H24="yes",J24*(1-Lookups!$I$10)^(2016-'HVAC Rebate Estimator'!L24),Lookups!$D$30)))-(D24*1000))*N24/1000000)*B24,"")</f>
        <v/>
      </c>
      <c r="P24" s="241" t="s">
        <v>107</v>
      </c>
      <c r="Q24" s="351">
        <v>4071</v>
      </c>
      <c r="R24" s="316" t="s">
        <v>7</v>
      </c>
      <c r="S24" s="375">
        <f>ROUND(IF(H24="yes",IF(F24="",'Incremental Cost'!$I$25,IF(F24=92%,'Incremental Cost'!$I$25,('Incremental Cost'!$I$25+'Incremental Cost'!$M19))),IF(F24="",'Incremental Cost'!$H$25,IF(F24=92%,'Incremental Cost'!$H$25,('Incremental Cost'!$H$25+'Incremental Cost'!$M19)))),0)</f>
        <v>100</v>
      </c>
      <c r="T24" s="312" t="s">
        <v>2</v>
      </c>
      <c r="U24" s="352">
        <f>B24</f>
        <v>0</v>
      </c>
      <c r="V24" s="320">
        <f>IF((U24*S24)&gt;5000,5000,(U24*S24))</f>
        <v>0</v>
      </c>
      <c r="W24" s="287" t="str">
        <f>IFERROR(V24/((O24*10)*Lookups!$M$4),"")</f>
        <v/>
      </c>
      <c r="X24" s="287">
        <f>'Incremental Cost'!$G$25</f>
        <v>80</v>
      </c>
      <c r="Y24" s="288" t="str">
        <f>IFERROR((V24+X24)/(O24*10*Lookups!$M$4),"")</f>
        <v/>
      </c>
      <c r="Z24" s="263" t="s">
        <v>372</v>
      </c>
      <c r="AA24" s="8"/>
      <c r="AB24" s="8"/>
      <c r="AC24" s="8"/>
      <c r="AD24" s="8"/>
      <c r="AE24" s="8"/>
      <c r="AF24" s="8"/>
      <c r="AG24" s="8"/>
      <c r="AH24" s="8"/>
      <c r="AI24" s="8"/>
      <c r="AJ24" s="8"/>
      <c r="AK24" s="8"/>
      <c r="AL24" s="8"/>
      <c r="AM24" s="8"/>
      <c r="AN24" s="8"/>
    </row>
    <row r="25" spans="1:40" s="9" customFormat="1" ht="15.75" thickBot="1" x14ac:dyDescent="0.25">
      <c r="A25" s="327" t="s">
        <v>8</v>
      </c>
      <c r="B25" s="328"/>
      <c r="C25" s="329"/>
      <c r="D25" s="329"/>
      <c r="E25" s="329"/>
      <c r="F25" s="329"/>
      <c r="G25" s="329"/>
      <c r="H25" s="328"/>
      <c r="I25" s="329"/>
      <c r="J25" s="329"/>
      <c r="K25" s="329"/>
      <c r="L25" s="329"/>
      <c r="M25" s="329"/>
      <c r="N25" s="329"/>
      <c r="O25" s="329"/>
      <c r="P25" s="329"/>
      <c r="Q25" s="329"/>
      <c r="R25" s="329"/>
      <c r="S25" s="329"/>
      <c r="T25" s="329"/>
      <c r="U25" s="330"/>
      <c r="V25" s="331"/>
      <c r="W25" s="329"/>
      <c r="X25" s="329"/>
      <c r="Y25" s="329"/>
      <c r="Z25" s="10"/>
      <c r="AA25" s="8"/>
      <c r="AB25" s="8"/>
      <c r="AC25" s="8"/>
      <c r="AD25" s="8"/>
      <c r="AE25" s="8"/>
      <c r="AF25" s="8"/>
      <c r="AG25" s="8"/>
      <c r="AH25" s="8"/>
      <c r="AI25" s="8"/>
      <c r="AJ25" s="8"/>
      <c r="AK25" s="8"/>
      <c r="AL25" s="8"/>
      <c r="AM25" s="8"/>
      <c r="AN25" s="8"/>
    </row>
    <row r="26" spans="1:40" s="6" customFormat="1" hidden="1" x14ac:dyDescent="0.2">
      <c r="A26" s="269"/>
      <c r="B26" s="117"/>
      <c r="C26" s="117"/>
      <c r="D26" s="117"/>
      <c r="E26" s="117"/>
      <c r="F26" s="117"/>
      <c r="G26" s="117"/>
      <c r="H26" s="117"/>
      <c r="I26" s="117"/>
      <c r="J26" s="340" t="str">
        <f t="shared" ref="J26" si="0">IFERROR(IF(I26="",VLOOKUP(M26,Baseline_Eff_lookup,6,FALSE),I26),"")</f>
        <v/>
      </c>
      <c r="K26" s="117"/>
      <c r="L26" s="117"/>
      <c r="M26" s="117"/>
      <c r="N26" s="117"/>
      <c r="O26" s="117"/>
      <c r="P26" s="117"/>
      <c r="Q26" s="117"/>
      <c r="R26" s="117"/>
      <c r="S26" s="117"/>
      <c r="T26" s="117"/>
      <c r="U26" s="270" t="s">
        <v>18</v>
      </c>
      <c r="V26" s="252"/>
      <c r="W26" s="274" t="s">
        <v>351</v>
      </c>
      <c r="X26" s="274"/>
      <c r="Y26" s="274" t="s">
        <v>351</v>
      </c>
      <c r="Z26" s="272"/>
      <c r="AA26" s="2"/>
      <c r="AB26" s="2"/>
      <c r="AC26" s="2"/>
      <c r="AD26" s="2"/>
      <c r="AE26" s="2"/>
      <c r="AF26" s="2"/>
      <c r="AG26" s="2"/>
      <c r="AH26" s="2"/>
      <c r="AI26" s="2"/>
      <c r="AJ26" s="2"/>
      <c r="AK26" s="2"/>
      <c r="AL26" s="2"/>
      <c r="AM26" s="2"/>
      <c r="AN26" s="2"/>
    </row>
    <row r="27" spans="1:40" s="9" customFormat="1" ht="65.099999999999994" customHeight="1" x14ac:dyDescent="0.2">
      <c r="A27" s="344" t="s">
        <v>431</v>
      </c>
      <c r="B27" s="333"/>
      <c r="C27" s="334"/>
      <c r="D27" s="335"/>
      <c r="E27" s="316" t="s">
        <v>97</v>
      </c>
      <c r="F27" s="339"/>
      <c r="G27" s="345" t="s">
        <v>416</v>
      </c>
      <c r="H27" s="334"/>
      <c r="I27" s="339"/>
      <c r="J27" s="340" t="str">
        <f>IFERROR(IF(I27="",VLOOKUP(M27,Baseline_Eff_lookup,6,FALSE),I27),"")</f>
        <v/>
      </c>
      <c r="K27" s="346" t="s">
        <v>70</v>
      </c>
      <c r="L27" s="341"/>
      <c r="M27" s="337" t="str">
        <f>IFERROR(VLOOKUP(L27,DateRange_lookup,2,FALSE),"")</f>
        <v/>
      </c>
      <c r="N27" s="337" t="str">
        <f t="shared" ref="N27:N52" si="1">IFERROR(VLOOKUP(C27,EFLH_lookup,3,FALSE),"")</f>
        <v/>
      </c>
      <c r="O27" s="227" t="str">
        <f>IFERROR(IFERROR(((D27*12000)/1000)*N27*((1/(IF(H27="yes",J27*(1-Lookups!$I$9)^(2016-'HVAC Rebate Estimator'!L27),Lookups!$F$30)))-(1/IF(G27="Yes",F27*Lookups!E$44,F27))),"")*B27,"")</f>
        <v/>
      </c>
      <c r="P27" s="241" t="s">
        <v>96</v>
      </c>
      <c r="Q27" s="116">
        <v>595</v>
      </c>
      <c r="R27" s="316" t="s">
        <v>7</v>
      </c>
      <c r="S27" s="317">
        <f>IFERROR(INDEX('Incremental Cost'!B98:B101,MATCH(F27,'Incremental Cost'!A98:A101,1)),)</f>
        <v>0</v>
      </c>
      <c r="T27" s="312" t="s">
        <v>4</v>
      </c>
      <c r="U27" s="313">
        <f t="shared" ref="U27:U41" si="2">D27</f>
        <v>0</v>
      </c>
      <c r="V27" s="378">
        <f>IF((U27*S27)*B27&gt;5000,5000,(U27*S27+IF(G27="yes",250,0))*B27)</f>
        <v>0</v>
      </c>
      <c r="W27" s="287" t="str">
        <f>IFERROR(V27/(O27*Lookups!$M$3),"")</f>
        <v/>
      </c>
      <c r="X27" s="287">
        <f>IFERROR(U27*'Incremental Cost'!$G$50,"")</f>
        <v>0</v>
      </c>
      <c r="Y27" s="288" t="str">
        <f>IFERROR((V27+X27)/(O27*Lookups!$M$3),"")</f>
        <v/>
      </c>
      <c r="Z27" s="429" t="s">
        <v>430</v>
      </c>
      <c r="AA27" s="8"/>
      <c r="AB27" s="8"/>
      <c r="AC27" s="8"/>
      <c r="AD27" s="8"/>
      <c r="AE27" s="8"/>
      <c r="AF27" s="8"/>
      <c r="AG27" s="8"/>
      <c r="AH27" s="8"/>
      <c r="AI27" s="8"/>
      <c r="AJ27" s="8"/>
      <c r="AK27" s="8"/>
      <c r="AL27" s="8"/>
      <c r="AM27" s="8"/>
      <c r="AN27" s="8"/>
    </row>
    <row r="28" spans="1:40" s="9" customFormat="1" ht="49.15" hidden="1" customHeight="1" x14ac:dyDescent="0.2">
      <c r="A28" s="344" t="s">
        <v>113</v>
      </c>
      <c r="B28" s="333"/>
      <c r="C28" s="334"/>
      <c r="D28" s="335"/>
      <c r="E28" s="316" t="s">
        <v>97</v>
      </c>
      <c r="F28" s="339"/>
      <c r="G28" s="345"/>
      <c r="H28" s="334"/>
      <c r="I28" s="339"/>
      <c r="J28" s="340" t="str">
        <f>IFERROR(IF(I28="",VLOOKUP(M28,Baseline_Eff_lookup,6,FALSE),I28),"")</f>
        <v/>
      </c>
      <c r="K28" s="346" t="s">
        <v>70</v>
      </c>
      <c r="L28" s="341"/>
      <c r="M28" s="337" t="str">
        <f t="shared" ref="M28" si="3">IFERROR(VLOOKUP(L28,DateRange_lookup,2,FALSE),"")</f>
        <v/>
      </c>
      <c r="N28" s="337" t="str">
        <f t="shared" ref="N28" si="4">IFERROR(VLOOKUP(C28,EFLH_lookup,3,FALSE),"")</f>
        <v/>
      </c>
      <c r="O28" s="227" t="str">
        <f>IFERROR(IFERROR(((D28*12000)/1000)*N28*((1/(IF(H28="yes",J28*(1-Lookups!$I$9)^(2016-'HVAC Rebate Estimator'!L28),Lookups!$F$30)))-(1/IF(G28="Yes",F28*Lookups!E$44,F28))),"")*B28,"")</f>
        <v/>
      </c>
      <c r="P28" s="241" t="s">
        <v>96</v>
      </c>
      <c r="Q28" s="116">
        <v>595</v>
      </c>
      <c r="R28" s="316" t="s">
        <v>7</v>
      </c>
      <c r="S28" s="375">
        <f>ROUND(IF(H28="yes",IF(F28="",'Incremental Cost'!$I$50,IF(F28=17,'Incremental Cost'!$I$50,('Incremental Cost'!$I$50+('Incremental Cost'!$M40*((F28-17)))))),IF(F28="",'Incremental Cost'!$H$50,IF(F28=17,'Incremental Cost'!$H$50,('Incremental Cost'!$H$50+('Incremental Cost'!$M40*((F28-17))))))),0)</f>
        <v>79</v>
      </c>
      <c r="T28" s="312" t="s">
        <v>4</v>
      </c>
      <c r="U28" s="313">
        <f t="shared" si="2"/>
        <v>0</v>
      </c>
      <c r="V28" s="314">
        <f t="shared" ref="V28:V46" si="5">IF((U28*S28)*B28&gt;5000,5000,(U28*S28+IF(G28="yes",250,0))*B28)</f>
        <v>0</v>
      </c>
      <c r="W28" s="287" t="str">
        <f>IFERROR(V28/(O28*Lookups!$M$3),"")</f>
        <v/>
      </c>
      <c r="X28" s="287">
        <f>IFERROR(U28*'Incremental Cost'!$G$50,"")</f>
        <v>0</v>
      </c>
      <c r="Y28" s="288" t="str">
        <f>IFERROR((V28+X28)/(O28*Lookups!$M$3),"")</f>
        <v/>
      </c>
      <c r="Z28" s="429"/>
      <c r="AA28" s="8"/>
      <c r="AB28" s="8"/>
      <c r="AC28" s="8"/>
      <c r="AD28" s="8"/>
      <c r="AE28" s="8"/>
      <c r="AF28" s="8"/>
      <c r="AG28" s="8"/>
      <c r="AH28" s="8"/>
      <c r="AI28" s="8"/>
      <c r="AJ28" s="8"/>
      <c r="AK28" s="8"/>
      <c r="AL28" s="8"/>
      <c r="AM28" s="8"/>
      <c r="AN28" s="8"/>
    </row>
    <row r="29" spans="1:40" s="9" customFormat="1" ht="12" hidden="1" customHeight="1" x14ac:dyDescent="0.2">
      <c r="A29" s="344" t="s">
        <v>113</v>
      </c>
      <c r="B29" s="333"/>
      <c r="C29" s="334"/>
      <c r="D29" s="335"/>
      <c r="E29" s="316" t="s">
        <v>97</v>
      </c>
      <c r="F29" s="339"/>
      <c r="G29" s="345"/>
      <c r="H29" s="334"/>
      <c r="I29" s="339"/>
      <c r="J29" s="340" t="str">
        <f>IFERROR(IF(I29="",VLOOKUP(M29,Baseline_Eff_lookup,6,FALSE),I29),"")</f>
        <v/>
      </c>
      <c r="K29" s="346" t="s">
        <v>70</v>
      </c>
      <c r="L29" s="341"/>
      <c r="M29" s="337" t="str">
        <f t="shared" ref="M29:M52" si="6">IFERROR(VLOOKUP(L29,DateRange_lookup,2,FALSE),"")</f>
        <v/>
      </c>
      <c r="N29" s="337" t="str">
        <f t="shared" si="1"/>
        <v/>
      </c>
      <c r="O29" s="227" t="str">
        <f>IFERROR(IFERROR(((D29*12000)/1000)*N29*((1/(IF(H29="yes",J29*(1-Lookups!$I$9)^(2016-'HVAC Rebate Estimator'!L29),Lookups!$F$30)))-(1/IF(G29="Yes",F29*Lookups!E$44,F29))),"")*B29,"")</f>
        <v/>
      </c>
      <c r="P29" s="241" t="s">
        <v>96</v>
      </c>
      <c r="Q29" s="116">
        <v>595</v>
      </c>
      <c r="R29" s="316" t="s">
        <v>7</v>
      </c>
      <c r="S29" s="375">
        <f>ROUND(IF(H29="yes",IF(F29="",'Incremental Cost'!$I$50,IF(F29=17,'Incremental Cost'!$I$50,('Incremental Cost'!$I$50+('Incremental Cost'!$M41*((F29-17)))))),IF(F29="",'Incremental Cost'!$H$50,IF(F29=17,'Incremental Cost'!$H$50,('Incremental Cost'!$H$50+('Incremental Cost'!$M41*((F29-17))))))),0)</f>
        <v>79</v>
      </c>
      <c r="T29" s="312" t="s">
        <v>4</v>
      </c>
      <c r="U29" s="313">
        <f t="shared" si="2"/>
        <v>0</v>
      </c>
      <c r="V29" s="378">
        <f t="shared" si="5"/>
        <v>0</v>
      </c>
      <c r="W29" s="287" t="str">
        <f>IFERROR(V29/(O29*Lookups!$M$3),"")</f>
        <v/>
      </c>
      <c r="X29" s="287">
        <f>IFERROR(U29*'Incremental Cost'!$G$50,"")</f>
        <v>0</v>
      </c>
      <c r="Y29" s="288" t="str">
        <f>IFERROR((V29+X29)/(O29*Lookups!$M$3),"")</f>
        <v/>
      </c>
      <c r="Z29" s="429"/>
      <c r="AA29" s="8"/>
      <c r="AB29" s="8"/>
      <c r="AC29" s="8"/>
      <c r="AD29" s="8"/>
      <c r="AE29" s="8"/>
      <c r="AF29" s="8"/>
      <c r="AG29" s="8"/>
      <c r="AH29" s="8"/>
      <c r="AI29" s="8"/>
      <c r="AJ29" s="8"/>
      <c r="AK29" s="8"/>
      <c r="AL29" s="8"/>
      <c r="AM29" s="8"/>
      <c r="AN29" s="8"/>
    </row>
    <row r="30" spans="1:40" s="9" customFormat="1" ht="10.5" hidden="1" customHeight="1" x14ac:dyDescent="0.2">
      <c r="A30" s="344" t="s">
        <v>113</v>
      </c>
      <c r="B30" s="333"/>
      <c r="C30" s="334"/>
      <c r="D30" s="335"/>
      <c r="E30" s="316" t="s">
        <v>97</v>
      </c>
      <c r="F30" s="339"/>
      <c r="G30" s="345"/>
      <c r="H30" s="334"/>
      <c r="I30" s="339"/>
      <c r="J30" s="340" t="str">
        <f>IFERROR(IF(I30="",VLOOKUP(M30,Baseline_Eff_lookup,6,FALSE),I30),"")</f>
        <v/>
      </c>
      <c r="K30" s="346" t="s">
        <v>70</v>
      </c>
      <c r="L30" s="341"/>
      <c r="M30" s="337" t="str">
        <f t="shared" ref="M30" si="7">IFERROR(VLOOKUP(L30,DateRange_lookup,2,FALSE),"")</f>
        <v/>
      </c>
      <c r="N30" s="337" t="str">
        <f t="shared" ref="N30" si="8">IFERROR(VLOOKUP(C30,EFLH_lookup,3,FALSE),"")</f>
        <v/>
      </c>
      <c r="O30" s="227" t="str">
        <f>IFERROR(IFERROR(((D30*12000)/1000)*N30*((1/(IF(H30="yes",J30*(1-Lookups!$I$9)^(2016-'HVAC Rebate Estimator'!L30),Lookups!$F$30)))-(1/IF(G30="Yes",F30*Lookups!E$44,F30))),"")*B30,"")</f>
        <v/>
      </c>
      <c r="P30" s="241" t="s">
        <v>96</v>
      </c>
      <c r="Q30" s="116">
        <v>595</v>
      </c>
      <c r="R30" s="316" t="s">
        <v>7</v>
      </c>
      <c r="S30" s="377">
        <f>ROUND(IF(H30="yes",IF(F30="",'Incremental Cost'!$I$50,IF(F30=17,'Incremental Cost'!$I$50,('Incremental Cost'!$I$50+('Incremental Cost'!$M42*((F30-17)))))),IF(F30="",'Incremental Cost'!$H$50,IF(F30=17,'Incremental Cost'!$H$50,('Incremental Cost'!$H$50+('Incremental Cost'!$M42*((F30-17))))))),0)</f>
        <v>79</v>
      </c>
      <c r="T30" s="312" t="s">
        <v>4</v>
      </c>
      <c r="U30" s="313">
        <f t="shared" ref="U30" si="9">D30</f>
        <v>0</v>
      </c>
      <c r="V30" s="378">
        <f t="shared" si="5"/>
        <v>0</v>
      </c>
      <c r="W30" s="287" t="str">
        <f>IFERROR(V30/(O30*Lookups!$M$3),"")</f>
        <v/>
      </c>
      <c r="X30" s="287">
        <f>IFERROR(U30*'Incremental Cost'!$G$50,"")</f>
        <v>0</v>
      </c>
      <c r="Y30" s="288" t="str">
        <f>IFERROR((V30+X30)/(O30*Lookups!$M$3),"")</f>
        <v/>
      </c>
      <c r="Z30" s="429"/>
      <c r="AA30" s="8"/>
      <c r="AB30" s="8"/>
      <c r="AC30" s="8"/>
      <c r="AD30" s="8"/>
      <c r="AE30" s="8"/>
      <c r="AF30" s="8"/>
      <c r="AG30" s="8"/>
      <c r="AH30" s="8"/>
      <c r="AI30" s="8"/>
      <c r="AJ30" s="8"/>
      <c r="AK30" s="8"/>
      <c r="AL30" s="8"/>
      <c r="AM30" s="8"/>
      <c r="AN30" s="8"/>
    </row>
    <row r="31" spans="1:40" s="9" customFormat="1" ht="65.099999999999994" customHeight="1" thickBot="1" x14ac:dyDescent="0.25">
      <c r="A31" s="344" t="s">
        <v>432</v>
      </c>
      <c r="B31" s="333"/>
      <c r="C31" s="334"/>
      <c r="D31" s="335"/>
      <c r="E31" s="316" t="s">
        <v>97</v>
      </c>
      <c r="F31" s="339"/>
      <c r="G31" s="345"/>
      <c r="H31" s="334"/>
      <c r="I31" s="339"/>
      <c r="J31" s="340" t="str">
        <f>IFERROR(IF(I31="",VLOOKUP(M31,Baseline_Eff_lookup,6,FALSE),I31),"")</f>
        <v/>
      </c>
      <c r="K31" s="116" t="s">
        <v>70</v>
      </c>
      <c r="L31" s="341"/>
      <c r="M31" s="337" t="str">
        <f t="shared" si="6"/>
        <v/>
      </c>
      <c r="N31" s="337" t="str">
        <f t="shared" si="1"/>
        <v/>
      </c>
      <c r="O31" s="227" t="str">
        <f>IFERROR(IFERROR(((D31*12000)/1000)*N31*((1/(IF(H31="yes",J31*(1-Lookups!$I$9)^(2016-'HVAC Rebate Estimator'!L31),Lookups!$H$30)))-(1/IF(G31="Yes",F31*Lookups!E$44,F31))),"")*B31,"")</f>
        <v/>
      </c>
      <c r="P31" s="241" t="s">
        <v>96</v>
      </c>
      <c r="Q31" s="316">
        <v>1750</v>
      </c>
      <c r="R31" s="316" t="s">
        <v>7</v>
      </c>
      <c r="S31" s="317">
        <f>IFERROR(INDEX('Incremental Cost'!B104:B107,MATCH(F31,'Incremental Cost'!A104:A107,1)),)</f>
        <v>0</v>
      </c>
      <c r="T31" s="312" t="s">
        <v>4</v>
      </c>
      <c r="U31" s="313">
        <f t="shared" si="2"/>
        <v>0</v>
      </c>
      <c r="V31" s="378">
        <f t="shared" si="5"/>
        <v>0</v>
      </c>
      <c r="W31" s="287" t="str">
        <f>IFERROR(V31/(O31*Lookups!$M$3),"")</f>
        <v/>
      </c>
      <c r="X31" s="287">
        <f>IFERROR(U31*'Incremental Cost'!$G$50,"")</f>
        <v>0</v>
      </c>
      <c r="Y31" s="288" t="str">
        <f>IFERROR((V31+X31)/(O31*Lookups!$M$3),"")</f>
        <v/>
      </c>
      <c r="Z31" s="430"/>
      <c r="AA31" s="8"/>
      <c r="AB31" s="8"/>
      <c r="AC31" s="8"/>
      <c r="AD31" s="8"/>
      <c r="AE31" s="8"/>
      <c r="AF31" s="8"/>
      <c r="AG31" s="8"/>
      <c r="AH31" s="8"/>
      <c r="AI31" s="8"/>
      <c r="AJ31" s="8"/>
      <c r="AK31" s="8"/>
      <c r="AL31" s="8"/>
      <c r="AM31" s="8"/>
      <c r="AN31" s="8"/>
    </row>
    <row r="32" spans="1:40" s="9" customFormat="1" ht="49.15" hidden="1" customHeight="1" x14ac:dyDescent="0.2">
      <c r="A32" s="344" t="s">
        <v>10</v>
      </c>
      <c r="B32" s="333"/>
      <c r="C32" s="334"/>
      <c r="D32" s="335"/>
      <c r="E32" s="316" t="s">
        <v>97</v>
      </c>
      <c r="F32" s="339"/>
      <c r="G32" s="345"/>
      <c r="H32" s="334"/>
      <c r="I32" s="339"/>
      <c r="J32" s="340" t="str">
        <f>IFERROR(IF(I32="",VLOOKUP(M32,Baseline_Eff_lookup,8,FALSE),I32),"")</f>
        <v/>
      </c>
      <c r="K32" s="116" t="s">
        <v>71</v>
      </c>
      <c r="L32" s="341"/>
      <c r="M32" s="337" t="str">
        <f t="shared" ref="M32" si="10">IFERROR(VLOOKUP(L32,DateRange_lookup,2,FALSE),"")</f>
        <v/>
      </c>
      <c r="N32" s="337" t="str">
        <f t="shared" ref="N32" si="11">IFERROR(VLOOKUP(C32,EFLH_lookup,3,FALSE),"")</f>
        <v/>
      </c>
      <c r="O32" s="227" t="str">
        <f>IFERROR(IFERROR(((D32*12000)/1000)*N32*((1/(IF(H32="yes",J32*(1-Lookups!$I$9)^(2016-'HVAC Rebate Estimator'!L32),Lookups!$H$30)))-(1/IF(G32="Yes",F32*Lookups!E$44,F32))),"")*B32,"")</f>
        <v/>
      </c>
      <c r="P32" s="241" t="s">
        <v>96</v>
      </c>
      <c r="Q32" s="316">
        <v>1750</v>
      </c>
      <c r="R32" s="316" t="s">
        <v>7</v>
      </c>
      <c r="S32" s="375">
        <f>ROUND(IF(H32="yes",IF(F32="",'Incremental Cost'!$I$50,IF(F32=12,'Incremental Cost'!$I$50,('Incremental Cost'!$I$50+('Incremental Cost'!$M44*((F32-12)))))),IF(F32="",'Incremental Cost'!$H$50,IF(F32=12,'Incremental Cost'!$H$50,('Incremental Cost'!$H$50+('Incremental Cost'!$M44*((F32-12))))))),0)</f>
        <v>79</v>
      </c>
      <c r="T32" s="312" t="s">
        <v>4</v>
      </c>
      <c r="U32" s="313">
        <f t="shared" si="2"/>
        <v>0</v>
      </c>
      <c r="V32" s="378">
        <f t="shared" si="5"/>
        <v>0</v>
      </c>
      <c r="W32" s="287" t="str">
        <f>IFERROR(V32/(O32*Lookups!$M$3),"")</f>
        <v/>
      </c>
      <c r="X32" s="287">
        <f>IFERROR(U32*'Incremental Cost'!$G$50,"")</f>
        <v>0</v>
      </c>
      <c r="Y32" s="288" t="str">
        <f>IFERROR((V32+X32)/(O32*Lookups!$M$3),"")</f>
        <v/>
      </c>
      <c r="Z32" s="430"/>
      <c r="AA32" s="8"/>
      <c r="AB32" s="8"/>
      <c r="AC32" s="8"/>
      <c r="AD32" s="8"/>
      <c r="AE32" s="8"/>
      <c r="AF32" s="8"/>
      <c r="AG32" s="8"/>
      <c r="AH32" s="8"/>
      <c r="AI32" s="8"/>
      <c r="AJ32" s="8"/>
      <c r="AK32" s="8"/>
      <c r="AL32" s="8"/>
      <c r="AM32" s="8"/>
      <c r="AN32" s="8"/>
    </row>
    <row r="33" spans="1:40" s="9" customFormat="1" ht="49.15" hidden="1" customHeight="1" x14ac:dyDescent="0.2">
      <c r="A33" s="344" t="s">
        <v>10</v>
      </c>
      <c r="B33" s="333"/>
      <c r="C33" s="334"/>
      <c r="D33" s="335"/>
      <c r="E33" s="316" t="s">
        <v>97</v>
      </c>
      <c r="F33" s="339"/>
      <c r="G33" s="345"/>
      <c r="H33" s="334"/>
      <c r="I33" s="339"/>
      <c r="J33" s="340" t="str">
        <f>IFERROR(IF(I33="",VLOOKUP(M33,Baseline_Eff_lookup,8,FALSE),I33),"")</f>
        <v/>
      </c>
      <c r="K33" s="116" t="s">
        <v>71</v>
      </c>
      <c r="L33" s="341"/>
      <c r="M33" s="337" t="str">
        <f t="shared" si="6"/>
        <v/>
      </c>
      <c r="N33" s="337" t="str">
        <f t="shared" si="1"/>
        <v/>
      </c>
      <c r="O33" s="227" t="str">
        <f>IFERROR(IFERROR(((D33*12000)/1000)*N33*((1/(IF(H33="yes",J33*(1-Lookups!$I$9)^(2016-'HVAC Rebate Estimator'!L33),Lookups!$H$30)))-(1/IF(G33="Yes",F33*Lookups!E$44,F33))),"")*B33,"")</f>
        <v/>
      </c>
      <c r="P33" s="241" t="s">
        <v>96</v>
      </c>
      <c r="Q33" s="316">
        <v>1750</v>
      </c>
      <c r="R33" s="316" t="s">
        <v>7</v>
      </c>
      <c r="S33" s="375">
        <f>ROUND(IF(H33="yes",IF(F33="",'Incremental Cost'!$I$50,IF(F33=12,'Incremental Cost'!$I$50,('Incremental Cost'!$I$50+('Incremental Cost'!$M45*((F33-12)))))),IF(F33="",'Incremental Cost'!$H$50,IF(F33=12,'Incremental Cost'!$H$50,('Incremental Cost'!$H$50+('Incremental Cost'!$M45*((F33-12))))))),0)</f>
        <v>79</v>
      </c>
      <c r="T33" s="312" t="s">
        <v>4</v>
      </c>
      <c r="U33" s="313">
        <f t="shared" si="2"/>
        <v>0</v>
      </c>
      <c r="V33" s="378">
        <f t="shared" si="5"/>
        <v>0</v>
      </c>
      <c r="W33" s="287" t="str">
        <f>IFERROR(V33/(O33*Lookups!$M$3),"")</f>
        <v/>
      </c>
      <c r="X33" s="287">
        <f>IFERROR(U33*'Incremental Cost'!$G$50,"")</f>
        <v>0</v>
      </c>
      <c r="Y33" s="288" t="str">
        <f>IFERROR((V33+X33)/(O33*Lookups!$M$3),"")</f>
        <v/>
      </c>
      <c r="Z33" s="430"/>
      <c r="AA33" s="8"/>
      <c r="AB33" s="8"/>
      <c r="AC33" s="8"/>
      <c r="AD33" s="8"/>
      <c r="AE33" s="8"/>
      <c r="AF33" s="8"/>
      <c r="AG33" s="8"/>
      <c r="AH33" s="8"/>
      <c r="AI33" s="8"/>
      <c r="AJ33" s="8"/>
      <c r="AK33" s="8"/>
      <c r="AL33" s="8"/>
      <c r="AM33" s="8"/>
      <c r="AN33" s="8"/>
    </row>
    <row r="34" spans="1:40" s="9" customFormat="1" ht="49.15" hidden="1" customHeight="1" x14ac:dyDescent="0.2">
      <c r="A34" s="344" t="s">
        <v>10</v>
      </c>
      <c r="B34" s="333"/>
      <c r="C34" s="334"/>
      <c r="D34" s="335"/>
      <c r="E34" s="316" t="s">
        <v>97</v>
      </c>
      <c r="F34" s="339"/>
      <c r="G34" s="345"/>
      <c r="H34" s="334"/>
      <c r="I34" s="339"/>
      <c r="J34" s="340" t="str">
        <f>IFERROR(IF(I34="",VLOOKUP(M34,Baseline_Eff_lookup,8,FALSE),I34),"")</f>
        <v/>
      </c>
      <c r="K34" s="116" t="s">
        <v>71</v>
      </c>
      <c r="L34" s="341"/>
      <c r="M34" s="337" t="str">
        <f t="shared" ref="M34" si="12">IFERROR(VLOOKUP(L34,DateRange_lookup,2,FALSE),"")</f>
        <v/>
      </c>
      <c r="N34" s="337" t="str">
        <f t="shared" ref="N34" si="13">IFERROR(VLOOKUP(C34,EFLH_lookup,3,FALSE),"")</f>
        <v/>
      </c>
      <c r="O34" s="227" t="str">
        <f>IFERROR(IFERROR(((D34*12000)/1000)*N34*((1/(IF(H34="yes",J34*(1-Lookups!$I$9)^(2016-'HVAC Rebate Estimator'!L34),Lookups!$H$30)))-(1/IF(G34="Yes",F34*Lookups!E$44,F34))),"")*B34,"")</f>
        <v/>
      </c>
      <c r="P34" s="241" t="s">
        <v>96</v>
      </c>
      <c r="Q34" s="316">
        <v>1750</v>
      </c>
      <c r="R34" s="316" t="s">
        <v>7</v>
      </c>
      <c r="S34" s="375">
        <f>ROUND(IF(H34="yes",IF(F34="",'Incremental Cost'!$I$50,IF(F34=12,'Incremental Cost'!$I$50,('Incremental Cost'!$I$50+('Incremental Cost'!$M46*((F34-12)))))),IF(F34="",'Incremental Cost'!$H$50,IF(F34=12,'Incremental Cost'!$H$50,('Incremental Cost'!$H$50+('Incremental Cost'!$M46*((F34-12))))))),0)</f>
        <v>79</v>
      </c>
      <c r="T34" s="312" t="s">
        <v>4</v>
      </c>
      <c r="U34" s="313">
        <f t="shared" ref="U34" si="14">D34</f>
        <v>0</v>
      </c>
      <c r="V34" s="378">
        <f t="shared" si="5"/>
        <v>0</v>
      </c>
      <c r="W34" s="287" t="str">
        <f>IFERROR(V34/(O34*Lookups!$M$3),"")</f>
        <v/>
      </c>
      <c r="X34" s="287">
        <f>IFERROR(U34*'Incremental Cost'!$G$50,"")</f>
        <v>0</v>
      </c>
      <c r="Y34" s="288" t="str">
        <f>IFERROR((V34+X34)/(O34*Lookups!$M$3),"")</f>
        <v/>
      </c>
      <c r="Z34" s="430"/>
      <c r="AA34" s="8"/>
      <c r="AB34" s="8"/>
      <c r="AC34" s="8"/>
      <c r="AD34" s="8"/>
      <c r="AE34" s="8"/>
      <c r="AF34" s="8"/>
      <c r="AG34" s="8"/>
      <c r="AH34" s="8"/>
      <c r="AI34" s="8"/>
      <c r="AJ34" s="8"/>
      <c r="AK34" s="8"/>
      <c r="AL34" s="8"/>
      <c r="AM34" s="8"/>
      <c r="AN34" s="8"/>
    </row>
    <row r="35" spans="1:40" s="9" customFormat="1" ht="49.15" hidden="1" customHeight="1" x14ac:dyDescent="0.2">
      <c r="A35" s="347" t="s">
        <v>9</v>
      </c>
      <c r="B35" s="333"/>
      <c r="C35" s="334"/>
      <c r="D35" s="335"/>
      <c r="E35" s="316" t="s">
        <v>97</v>
      </c>
      <c r="F35" s="339"/>
      <c r="G35" s="345"/>
      <c r="H35" s="334"/>
      <c r="I35" s="339"/>
      <c r="J35" s="340" t="str">
        <f>IFERROR(IF(I35="",VLOOKUP(M35,Baseline_Eff_lookup,8,FALSE),I35),"")</f>
        <v/>
      </c>
      <c r="K35" s="116" t="s">
        <v>71</v>
      </c>
      <c r="L35" s="341"/>
      <c r="M35" s="337" t="str">
        <f t="shared" si="6"/>
        <v/>
      </c>
      <c r="N35" s="337" t="str">
        <f>IFERROR(VLOOKUP(C35,EFLH_lookup,3,FALSE),"")</f>
        <v/>
      </c>
      <c r="O35" s="227" t="str">
        <f>IFERROR(IFERROR(((D35*12000)/1000)*N35*((1/(IF(H35="yes",J35*(1-Lookups!$I$9)^(2016-'HVAC Rebate Estimator'!L35),Lookups!$J$30)))-(1/IF(G35="Yes",F35*Lookups!E$44,F35))),"")*B35,"")</f>
        <v/>
      </c>
      <c r="P35" s="241" t="s">
        <v>96</v>
      </c>
      <c r="Q35" s="316">
        <v>3603</v>
      </c>
      <c r="R35" s="316" t="s">
        <v>7</v>
      </c>
      <c r="S35" s="317">
        <f>ROUND(IF(H35="yes",IF(F35="",'Incremental Cost'!$I$50,IF(F35=12,'Incremental Cost'!$I$50,('Incremental Cost'!$I$50+('Incremental Cost'!$M47*((F35-12)))))),IF(F35="",'Incremental Cost'!$H$50,IF(F35=12,'Incremental Cost'!$H$50,('Incremental Cost'!$H$50+('Incremental Cost'!$M47*((F35-12))))))),0)</f>
        <v>79</v>
      </c>
      <c r="T35" s="312" t="s">
        <v>4</v>
      </c>
      <c r="U35" s="313">
        <f t="shared" si="2"/>
        <v>0</v>
      </c>
      <c r="V35" s="378">
        <f t="shared" si="5"/>
        <v>0</v>
      </c>
      <c r="W35" s="287" t="str">
        <f>IFERROR(V35/(O35*Lookups!$M$3),"")</f>
        <v/>
      </c>
      <c r="X35" s="287">
        <f>IFERROR(U35*'Incremental Cost'!$G$50,"")</f>
        <v>0</v>
      </c>
      <c r="Y35" s="288" t="str">
        <f>IFERROR((V35+X35)/(O35*Lookups!$M$3),"")</f>
        <v/>
      </c>
      <c r="Z35" s="430"/>
      <c r="AA35" s="8"/>
      <c r="AB35" s="8"/>
      <c r="AC35" s="8"/>
      <c r="AD35" s="8"/>
      <c r="AE35" s="8"/>
      <c r="AF35" s="8"/>
      <c r="AG35" s="8"/>
      <c r="AH35" s="8"/>
      <c r="AI35" s="8"/>
      <c r="AJ35" s="8"/>
      <c r="AK35" s="8"/>
      <c r="AL35" s="8"/>
      <c r="AM35" s="8"/>
      <c r="AN35" s="8"/>
    </row>
    <row r="36" spans="1:40" s="9" customFormat="1" ht="49.15" hidden="1" customHeight="1" x14ac:dyDescent="0.2">
      <c r="A36" s="347" t="s">
        <v>9</v>
      </c>
      <c r="B36" s="333"/>
      <c r="C36" s="334"/>
      <c r="D36" s="335"/>
      <c r="E36" s="316" t="s">
        <v>97</v>
      </c>
      <c r="F36" s="339"/>
      <c r="G36" s="345"/>
      <c r="H36" s="334"/>
      <c r="I36" s="339"/>
      <c r="J36" s="340" t="str">
        <f>IFERROR(IF(I36="",VLOOKUP(M36,Baseline_Eff_lookup,10,FALSE),I36),"")</f>
        <v/>
      </c>
      <c r="K36" s="116" t="s">
        <v>71</v>
      </c>
      <c r="L36" s="341"/>
      <c r="M36" s="337" t="str">
        <f t="shared" ref="M36" si="15">IFERROR(VLOOKUP(L36,DateRange_lookup,2,FALSE),"")</f>
        <v/>
      </c>
      <c r="N36" s="337" t="str">
        <f>IFERROR(VLOOKUP(C36,EFLH_lookup,3,FALSE),"")</f>
        <v/>
      </c>
      <c r="O36" s="227" t="str">
        <f>IFERROR(IFERROR(((D36*12000)/1000)*N36*((1/(IF(H36="yes",J36*(1-Lookups!$I$9)^(2016-'HVAC Rebate Estimator'!L36),Lookups!$J$30)))-(1/IF(G36="Yes",F36*Lookups!E$44,F36))),"")*B36,"")</f>
        <v/>
      </c>
      <c r="P36" s="241" t="s">
        <v>96</v>
      </c>
      <c r="Q36" s="316">
        <v>3603</v>
      </c>
      <c r="R36" s="316" t="s">
        <v>7</v>
      </c>
      <c r="S36" s="375">
        <f>ROUND(IF(H36="yes",IF(F36="",'Incremental Cost'!$I$50,IF(F36=12,'Incremental Cost'!$I$50,('Incremental Cost'!$I$50+('Incremental Cost'!$M48*((F36-12)))))),IF(F36="",'Incremental Cost'!$H$50,IF(F36=12,'Incremental Cost'!$H$50,('Incremental Cost'!$H$50+('Incremental Cost'!$M48*((F36-12))))))),0)</f>
        <v>79</v>
      </c>
      <c r="T36" s="312" t="s">
        <v>4</v>
      </c>
      <c r="U36" s="313">
        <f t="shared" ref="U36" si="16">D36</f>
        <v>0</v>
      </c>
      <c r="V36" s="378">
        <f t="shared" si="5"/>
        <v>0</v>
      </c>
      <c r="W36" s="287" t="str">
        <f>IFERROR(V36/(O36*Lookups!$M$3),"")</f>
        <v/>
      </c>
      <c r="X36" s="287">
        <f>IFERROR(U36*'Incremental Cost'!$G$50,"")</f>
        <v>0</v>
      </c>
      <c r="Y36" s="288" t="str">
        <f>IFERROR((V36+X36)/(O36*Lookups!$M$3),"")</f>
        <v/>
      </c>
      <c r="Z36" s="430"/>
      <c r="AA36" s="8"/>
      <c r="AB36" s="8"/>
      <c r="AC36" s="8"/>
      <c r="AD36" s="8"/>
      <c r="AE36" s="8"/>
      <c r="AF36" s="8"/>
      <c r="AG36" s="8"/>
      <c r="AH36" s="8"/>
      <c r="AI36" s="8"/>
      <c r="AJ36" s="8"/>
      <c r="AK36" s="8"/>
      <c r="AL36" s="8"/>
      <c r="AM36" s="8"/>
      <c r="AN36" s="8"/>
    </row>
    <row r="37" spans="1:40" s="9" customFormat="1" ht="49.15" hidden="1" customHeight="1" x14ac:dyDescent="0.2">
      <c r="A37" s="347" t="s">
        <v>9</v>
      </c>
      <c r="B37" s="333"/>
      <c r="C37" s="334"/>
      <c r="D37" s="335"/>
      <c r="E37" s="316" t="s">
        <v>97</v>
      </c>
      <c r="F37" s="339"/>
      <c r="G37" s="345"/>
      <c r="H37" s="334"/>
      <c r="I37" s="339"/>
      <c r="J37" s="340" t="str">
        <f>IFERROR(IF(I37="",VLOOKUP(M37,Baseline_Eff_lookup,10,FALSE),I37),"")</f>
        <v/>
      </c>
      <c r="K37" s="116" t="s">
        <v>71</v>
      </c>
      <c r="L37" s="341"/>
      <c r="M37" s="337" t="str">
        <f t="shared" si="6"/>
        <v/>
      </c>
      <c r="N37" s="337" t="str">
        <f t="shared" si="1"/>
        <v/>
      </c>
      <c r="O37" s="227" t="str">
        <f>IFERROR(IFERROR(((D37*12000)/1000)*N37*((1/(IF(H37="yes",J37*(1-Lookups!$I$9)^(2016-'HVAC Rebate Estimator'!L37),Lookups!$J$30)))-(1/IF(G37="Yes",F37*Lookups!E$44,F37))),"")*B37,"")</f>
        <v/>
      </c>
      <c r="P37" s="241" t="s">
        <v>96</v>
      </c>
      <c r="Q37" s="316">
        <v>3603</v>
      </c>
      <c r="R37" s="316" t="s">
        <v>7</v>
      </c>
      <c r="S37" s="375">
        <f>ROUND(IF(H37="yes",IF(F37="",'Incremental Cost'!$I$50,IF(F37=12,'Incremental Cost'!$I$50,('Incremental Cost'!$I$50+('Incremental Cost'!$M49*((F37-12)))))),IF(F37="",'Incremental Cost'!$H$50,IF(F37=12,'Incremental Cost'!$H$50,('Incremental Cost'!$H$50+('Incremental Cost'!$M49*((F37-12))))))),0)</f>
        <v>79</v>
      </c>
      <c r="T37" s="312" t="s">
        <v>4</v>
      </c>
      <c r="U37" s="313">
        <f t="shared" si="2"/>
        <v>0</v>
      </c>
      <c r="V37" s="378">
        <f t="shared" si="5"/>
        <v>0</v>
      </c>
      <c r="W37" s="287" t="str">
        <f>IFERROR(V37/(O37*Lookups!$M$3),"")</f>
        <v/>
      </c>
      <c r="X37" s="287">
        <f>IFERROR(U37*'Incremental Cost'!$G$50,"")</f>
        <v>0</v>
      </c>
      <c r="Y37" s="288" t="str">
        <f>IFERROR((V37+X37)/(O37*Lookups!$M$3),"")</f>
        <v/>
      </c>
      <c r="Z37" s="430"/>
      <c r="AA37" s="8"/>
      <c r="AB37" s="8"/>
      <c r="AC37" s="8"/>
      <c r="AD37" s="8"/>
      <c r="AE37" s="8"/>
      <c r="AF37" s="8"/>
      <c r="AG37" s="8"/>
      <c r="AH37" s="8"/>
      <c r="AI37" s="8"/>
      <c r="AJ37" s="8"/>
      <c r="AK37" s="8"/>
      <c r="AL37" s="8"/>
      <c r="AM37" s="8"/>
      <c r="AN37" s="8"/>
    </row>
    <row r="38" spans="1:40" s="9" customFormat="1" ht="49.15" hidden="1" customHeight="1" x14ac:dyDescent="0.2">
      <c r="A38" s="347" t="s">
        <v>9</v>
      </c>
      <c r="B38" s="333"/>
      <c r="C38" s="334"/>
      <c r="D38" s="335"/>
      <c r="E38" s="316" t="s">
        <v>97</v>
      </c>
      <c r="F38" s="339"/>
      <c r="G38" s="345"/>
      <c r="H38" s="334"/>
      <c r="I38" s="339"/>
      <c r="J38" s="340" t="str">
        <f>IFERROR(IF(I38="",VLOOKUP(M38,Baseline_Eff_lookup,10,FALSE),I38),"")</f>
        <v/>
      </c>
      <c r="K38" s="116" t="s">
        <v>71</v>
      </c>
      <c r="L38" s="341"/>
      <c r="M38" s="337" t="str">
        <f t="shared" ref="M38" si="17">IFERROR(VLOOKUP(L38,DateRange_lookup,2,FALSE),"")</f>
        <v/>
      </c>
      <c r="N38" s="337" t="str">
        <f t="shared" ref="N38" si="18">IFERROR(VLOOKUP(C38,EFLH_lookup,3,FALSE),"")</f>
        <v/>
      </c>
      <c r="O38" s="227" t="str">
        <f>IFERROR(IFERROR(((D38*12000)/1000)*N38*((1/(IF(H38="yes",J38*(1-Lookups!$I$9)^(2016-'HVAC Rebate Estimator'!L38),Lookups!$J$30)))-(1/IF(G38="Yes",F38*Lookups!E$44,F38))),"")*B38,"")</f>
        <v/>
      </c>
      <c r="P38" s="241" t="s">
        <v>96</v>
      </c>
      <c r="Q38" s="316">
        <v>3603</v>
      </c>
      <c r="R38" s="316" t="s">
        <v>7</v>
      </c>
      <c r="S38" s="375">
        <f>ROUND(IF(H38="yes",IF(F38="",'Incremental Cost'!$I$50,IF(F38=12,'Incremental Cost'!$I$50,('Incremental Cost'!$I$50+('Incremental Cost'!$M50*((F38-12)))))),IF(F38="",'Incremental Cost'!$H$50,IF(F38=12,'Incremental Cost'!$H$50,('Incremental Cost'!$H$50+('Incremental Cost'!$M50*((F38-12))))))),0)</f>
        <v>79</v>
      </c>
      <c r="T38" s="312" t="s">
        <v>4</v>
      </c>
      <c r="U38" s="313">
        <f t="shared" ref="U38" si="19">D38</f>
        <v>0</v>
      </c>
      <c r="V38" s="378">
        <f t="shared" si="5"/>
        <v>0</v>
      </c>
      <c r="W38" s="287" t="str">
        <f>IFERROR(V38/(O38*Lookups!$M$3),"")</f>
        <v/>
      </c>
      <c r="X38" s="287">
        <f>IFERROR(U38*'Incremental Cost'!$G$50,"")</f>
        <v>0</v>
      </c>
      <c r="Y38" s="288" t="str">
        <f>IFERROR((V38+X38)/(O38*Lookups!$M$3),"")</f>
        <v/>
      </c>
      <c r="Z38" s="430"/>
      <c r="AA38" s="8"/>
      <c r="AB38" s="8"/>
      <c r="AC38" s="8"/>
      <c r="AD38" s="8"/>
      <c r="AE38" s="8"/>
      <c r="AF38" s="8"/>
      <c r="AG38" s="8"/>
      <c r="AH38" s="8"/>
      <c r="AI38" s="8"/>
      <c r="AJ38" s="8"/>
      <c r="AK38" s="8"/>
      <c r="AL38" s="8"/>
      <c r="AM38" s="8"/>
      <c r="AN38" s="8"/>
    </row>
    <row r="39" spans="1:40" s="9" customFormat="1" ht="49.15" hidden="1" customHeight="1" x14ac:dyDescent="0.2">
      <c r="A39" s="344" t="s">
        <v>114</v>
      </c>
      <c r="B39" s="333"/>
      <c r="C39" s="334"/>
      <c r="D39" s="335"/>
      <c r="E39" s="316" t="s">
        <v>97</v>
      </c>
      <c r="F39" s="339"/>
      <c r="G39" s="345"/>
      <c r="H39" s="334"/>
      <c r="I39" s="339"/>
      <c r="J39" s="340" t="str">
        <f t="shared" ref="J39:J46" si="20">IFERROR(IF(I39="",VLOOKUP(M39,Baseline_Eff_lookup,6,FALSE),I39),"")</f>
        <v/>
      </c>
      <c r="K39" s="116" t="s">
        <v>70</v>
      </c>
      <c r="L39" s="341"/>
      <c r="M39" s="337" t="str">
        <f t="shared" si="6"/>
        <v/>
      </c>
      <c r="N39" s="337" t="str">
        <f t="shared" si="1"/>
        <v/>
      </c>
      <c r="O39" s="227" t="str">
        <f>IFERROR(IFERROR(((D39*12000)/1000)*N39*((1/(IF(H39="yes",J39*(1-Lookups!$I$9)^(2016-'HVAC Rebate Estimator'!L39),Lookups!$F$30)))-(1/F39)),"")*B39,"")</f>
        <v/>
      </c>
      <c r="P39" s="241" t="s">
        <v>96</v>
      </c>
      <c r="Q39" s="316">
        <v>1870</v>
      </c>
      <c r="R39" s="316" t="s">
        <v>7</v>
      </c>
      <c r="S39" s="317">
        <f>ROUND(IF(H39="yes",IF(F39="",'Incremental Cost'!$I$50,IF(F39=15,'Incremental Cost'!$I$50,('Incremental Cost'!$I$50+('Incremental Cost'!$M51*((F39-15)))))),IF(F39="",'Incremental Cost'!$H$50,IF(F39=15,'Incremental Cost'!$H$50,('Incremental Cost'!$H$50+('Incremental Cost'!$M51*((F39-15))))))),0)</f>
        <v>79</v>
      </c>
      <c r="T39" s="312" t="s">
        <v>4</v>
      </c>
      <c r="U39" s="313">
        <f t="shared" si="2"/>
        <v>0</v>
      </c>
      <c r="V39" s="378">
        <f t="shared" si="5"/>
        <v>0</v>
      </c>
      <c r="W39" s="287" t="str">
        <f>IFERROR(V39/(O39*Lookups!$M$3),"")</f>
        <v/>
      </c>
      <c r="X39" s="287">
        <f>IFERROR(U39*'Incremental Cost'!$G$50,"")</f>
        <v>0</v>
      </c>
      <c r="Y39" s="288" t="str">
        <f>IFERROR((V39+X39)/(O39*Lookups!$M$3),"")</f>
        <v/>
      </c>
      <c r="Z39" s="430"/>
      <c r="AA39" s="8"/>
      <c r="AB39" s="8"/>
      <c r="AC39" s="8"/>
      <c r="AD39" s="8"/>
      <c r="AE39" s="8"/>
      <c r="AF39" s="8"/>
      <c r="AG39" s="8"/>
      <c r="AH39" s="8"/>
      <c r="AI39" s="8"/>
      <c r="AJ39" s="8"/>
      <c r="AK39" s="8"/>
      <c r="AL39" s="8"/>
      <c r="AM39" s="8"/>
      <c r="AN39" s="8"/>
    </row>
    <row r="40" spans="1:40" s="9" customFormat="1" ht="49.15" hidden="1" customHeight="1" x14ac:dyDescent="0.2">
      <c r="A40" s="344" t="s">
        <v>114</v>
      </c>
      <c r="B40" s="333"/>
      <c r="C40" s="334"/>
      <c r="D40" s="335"/>
      <c r="E40" s="316" t="s">
        <v>97</v>
      </c>
      <c r="F40" s="339"/>
      <c r="G40" s="345"/>
      <c r="H40" s="334"/>
      <c r="I40" s="339"/>
      <c r="J40" s="340" t="str">
        <f t="shared" si="20"/>
        <v/>
      </c>
      <c r="K40" s="116" t="s">
        <v>70</v>
      </c>
      <c r="L40" s="341"/>
      <c r="M40" s="337" t="str">
        <f t="shared" ref="M40" si="21">IFERROR(VLOOKUP(L40,DateRange_lookup,2,FALSE),"")</f>
        <v/>
      </c>
      <c r="N40" s="337" t="str">
        <f t="shared" ref="N40" si="22">IFERROR(VLOOKUP(C40,EFLH_lookup,3,FALSE),"")</f>
        <v/>
      </c>
      <c r="O40" s="227" t="str">
        <f>IFERROR(IFERROR(((D40*12000)/1000)*N40*((1/(IF(H40="yes",J40*(1-Lookups!$I$9)^(2016-'HVAC Rebate Estimator'!L40),Lookups!$F$30)))-(1/F40)),"")*B40,"")</f>
        <v/>
      </c>
      <c r="P40" s="241" t="s">
        <v>96</v>
      </c>
      <c r="Q40" s="316">
        <v>1870</v>
      </c>
      <c r="R40" s="316" t="s">
        <v>7</v>
      </c>
      <c r="S40" s="375">
        <f>ROUND(IF(H40="yes",IF(F40="",'Incremental Cost'!$I$50,IF(F40=15,'Incremental Cost'!$I$50,('Incremental Cost'!$I$50+('Incremental Cost'!$M52*((F40-15)))))),IF(F40="",'Incremental Cost'!$H$50,IF(F40=15,'Incremental Cost'!$H$50,('Incremental Cost'!$H$50+('Incremental Cost'!$M52*((F40-15))))))),0)</f>
        <v>79</v>
      </c>
      <c r="T40" s="312" t="s">
        <v>4</v>
      </c>
      <c r="U40" s="313">
        <f t="shared" ref="U40" si="23">D40</f>
        <v>0</v>
      </c>
      <c r="V40" s="378">
        <f t="shared" si="5"/>
        <v>0</v>
      </c>
      <c r="W40" s="287" t="str">
        <f>IFERROR(V40/(O40*Lookups!$M$3),"")</f>
        <v/>
      </c>
      <c r="X40" s="287">
        <f>IFERROR(U40*'Incremental Cost'!$G$50,"")</f>
        <v>0</v>
      </c>
      <c r="Y40" s="288" t="str">
        <f>IFERROR((V40+X40)/(O40*Lookups!$M$3),"")</f>
        <v/>
      </c>
      <c r="Z40" s="430"/>
      <c r="AA40" s="8"/>
      <c r="AB40" s="8"/>
      <c r="AC40" s="8"/>
      <c r="AD40" s="8"/>
      <c r="AE40" s="8"/>
      <c r="AF40" s="8"/>
      <c r="AG40" s="8"/>
      <c r="AH40" s="8"/>
      <c r="AI40" s="8"/>
      <c r="AJ40" s="8"/>
      <c r="AK40" s="8"/>
      <c r="AL40" s="8"/>
      <c r="AM40" s="8"/>
      <c r="AN40" s="8"/>
    </row>
    <row r="41" spans="1:40" s="9" customFormat="1" ht="49.15" hidden="1" customHeight="1" x14ac:dyDescent="0.2">
      <c r="A41" s="344" t="s">
        <v>114</v>
      </c>
      <c r="B41" s="333"/>
      <c r="C41" s="334"/>
      <c r="D41" s="335"/>
      <c r="E41" s="316" t="s">
        <v>97</v>
      </c>
      <c r="F41" s="339"/>
      <c r="G41" s="345"/>
      <c r="H41" s="334"/>
      <c r="I41" s="339"/>
      <c r="J41" s="340" t="str">
        <f t="shared" si="20"/>
        <v/>
      </c>
      <c r="K41" s="116" t="s">
        <v>70</v>
      </c>
      <c r="L41" s="341"/>
      <c r="M41" s="337" t="str">
        <f t="shared" si="6"/>
        <v/>
      </c>
      <c r="N41" s="337" t="str">
        <f t="shared" si="1"/>
        <v/>
      </c>
      <c r="O41" s="227" t="str">
        <f>IFERROR(IFERROR(((D41*12000)/1000)*N41*((1/(IF(H41="yes",J41*(1-Lookups!$I$9)^(2016-'HVAC Rebate Estimator'!L41),Lookups!$F$30)))-(1/F41)),"")*B41,"")</f>
        <v/>
      </c>
      <c r="P41" s="241" t="s">
        <v>96</v>
      </c>
      <c r="Q41" s="316">
        <v>1870</v>
      </c>
      <c r="R41" s="316" t="s">
        <v>7</v>
      </c>
      <c r="S41" s="375">
        <f>ROUND(IF(H41="yes",IF(F41="",'Incremental Cost'!$I$50,IF(F41=15,'Incremental Cost'!$I$50,('Incremental Cost'!$I$50+('Incremental Cost'!$M53*((F41-15)))))),IF(F41="",'Incremental Cost'!$H$50,IF(F41=15,'Incremental Cost'!$H$50,('Incremental Cost'!$H$50+('Incremental Cost'!$M53*((F41-15))))))),0)</f>
        <v>79</v>
      </c>
      <c r="T41" s="312" t="s">
        <v>4</v>
      </c>
      <c r="U41" s="313">
        <f t="shared" si="2"/>
        <v>0</v>
      </c>
      <c r="V41" s="378">
        <f t="shared" si="5"/>
        <v>0</v>
      </c>
      <c r="W41" s="287" t="str">
        <f>IFERROR(V41/(O41*Lookups!$M$3),"")</f>
        <v/>
      </c>
      <c r="X41" s="287">
        <f>IFERROR(U41*'Incremental Cost'!$G$50,"")</f>
        <v>0</v>
      </c>
      <c r="Y41" s="288" t="str">
        <f>IFERROR((V41+X41)/(O41*Lookups!$M$3),"")</f>
        <v/>
      </c>
      <c r="Z41" s="430"/>
      <c r="AA41" s="8"/>
      <c r="AB41" s="8"/>
      <c r="AC41" s="8"/>
      <c r="AD41" s="8"/>
      <c r="AE41" s="8"/>
      <c r="AF41" s="8"/>
      <c r="AG41" s="8"/>
      <c r="AH41" s="8"/>
      <c r="AI41" s="8"/>
      <c r="AJ41" s="8"/>
      <c r="AK41" s="8"/>
      <c r="AL41" s="8"/>
      <c r="AM41" s="8"/>
      <c r="AN41" s="8"/>
    </row>
    <row r="42" spans="1:40" s="9" customFormat="1" ht="49.15" hidden="1" customHeight="1" x14ac:dyDescent="0.2">
      <c r="A42" s="344" t="s">
        <v>114</v>
      </c>
      <c r="B42" s="333"/>
      <c r="C42" s="334"/>
      <c r="D42" s="335"/>
      <c r="E42" s="316" t="s">
        <v>97</v>
      </c>
      <c r="F42" s="339"/>
      <c r="G42" s="345"/>
      <c r="H42" s="334"/>
      <c r="I42" s="339"/>
      <c r="J42" s="340" t="str">
        <f t="shared" si="20"/>
        <v/>
      </c>
      <c r="K42" s="116" t="s">
        <v>70</v>
      </c>
      <c r="L42" s="341"/>
      <c r="M42" s="337" t="str">
        <f t="shared" ref="M42:M44" si="24">IFERROR(VLOOKUP(L42,DateRange_lookup,2,FALSE),"")</f>
        <v/>
      </c>
      <c r="N42" s="337" t="str">
        <f t="shared" ref="N42:N44" si="25">IFERROR(VLOOKUP(C42,EFLH_lookup,3,FALSE),"")</f>
        <v/>
      </c>
      <c r="O42" s="227" t="str">
        <f>IFERROR(IFERROR(((D42*12000)/1000)*N42*((1/(IF(H42="yes",J42*(1-Lookups!$I$9)^(2016-'HVAC Rebate Estimator'!L42),Lookups!$F$30)))-(1/F42)),"")*B42,"")</f>
        <v/>
      </c>
      <c r="P42" s="241" t="s">
        <v>96</v>
      </c>
      <c r="Q42" s="316">
        <v>1870</v>
      </c>
      <c r="R42" s="316" t="s">
        <v>7</v>
      </c>
      <c r="S42" s="375">
        <f>ROUND(IF(H42="yes",IF(F42="",'Incremental Cost'!$I$50,IF(F42=15,'Incremental Cost'!$I$50,('Incremental Cost'!$I$50+('Incremental Cost'!$M54*((F42-15)))))),IF(F42="",'Incremental Cost'!$H$50,IF(F42=15,'Incremental Cost'!$H$50,('Incremental Cost'!$H$50+('Incremental Cost'!$M54*((F42-15))))))),0)</f>
        <v>79</v>
      </c>
      <c r="T42" s="312" t="s">
        <v>4</v>
      </c>
      <c r="U42" s="313">
        <f t="shared" ref="U42:U44" si="26">D42</f>
        <v>0</v>
      </c>
      <c r="V42" s="378">
        <f t="shared" si="5"/>
        <v>0</v>
      </c>
      <c r="W42" s="287" t="str">
        <f>IFERROR(V42/(O42*Lookups!$M$3),"")</f>
        <v/>
      </c>
      <c r="X42" s="287">
        <f>IFERROR(U42*'Incremental Cost'!$G$50,"")</f>
        <v>0</v>
      </c>
      <c r="Y42" s="288" t="str">
        <f>IFERROR((V42+X42)/(O42*Lookups!$M$3),"")</f>
        <v/>
      </c>
      <c r="Z42" s="430"/>
      <c r="AA42" s="8"/>
      <c r="AB42" s="8"/>
      <c r="AC42" s="8"/>
      <c r="AD42" s="8"/>
      <c r="AE42" s="8"/>
      <c r="AF42" s="8"/>
      <c r="AG42" s="8"/>
      <c r="AH42" s="8"/>
      <c r="AI42" s="8"/>
      <c r="AJ42" s="8"/>
      <c r="AK42" s="8"/>
      <c r="AL42" s="8"/>
      <c r="AM42" s="8"/>
      <c r="AN42" s="8"/>
    </row>
    <row r="43" spans="1:40" s="9" customFormat="1" ht="49.15" hidden="1" customHeight="1" thickBot="1" x14ac:dyDescent="0.25">
      <c r="A43" s="332" t="s">
        <v>11</v>
      </c>
      <c r="B43" s="333"/>
      <c r="C43" s="334"/>
      <c r="D43" s="335"/>
      <c r="E43" s="316" t="s">
        <v>97</v>
      </c>
      <c r="F43" s="339"/>
      <c r="G43" s="345"/>
      <c r="H43" s="334"/>
      <c r="I43" s="339"/>
      <c r="J43" s="340" t="str">
        <f t="shared" si="20"/>
        <v/>
      </c>
      <c r="K43" s="116" t="s">
        <v>70</v>
      </c>
      <c r="L43" s="341"/>
      <c r="M43" s="337" t="str">
        <f t="shared" si="24"/>
        <v/>
      </c>
      <c r="N43" s="337" t="str">
        <f t="shared" si="25"/>
        <v/>
      </c>
      <c r="O43" s="227" t="str">
        <f>IFERROR(IFERROR(((D43*12000)/1000)*N43*((1/(IF(H43="yes",J43*(1-Lookups!I$9)^(2016-'HVAC Rebate Estimator'!L43),Lookups!$F$30)))-(1/F43)),"")*B43,"")</f>
        <v/>
      </c>
      <c r="P43" s="241" t="s">
        <v>96</v>
      </c>
      <c r="Q43" s="316">
        <v>1120</v>
      </c>
      <c r="R43" s="316" t="s">
        <v>7</v>
      </c>
      <c r="S43" s="317">
        <f>ROUND(IF(H43="yes",IF(F43="",'Incremental Cost'!$I$50,IF(F43=15,'Incremental Cost'!$I$50,('Incremental Cost'!$I$50+('Incremental Cost'!$M55*((F43-15)))))),IF(F43="",'Incremental Cost'!$H$50,IF(F43=15,'Incremental Cost'!$H$50,('Incremental Cost'!$H$50+('Incremental Cost'!$M55*((F43-15))))))),0)</f>
        <v>79</v>
      </c>
      <c r="T43" s="312" t="s">
        <v>4</v>
      </c>
      <c r="U43" s="313">
        <f t="shared" si="26"/>
        <v>0</v>
      </c>
      <c r="V43" s="378">
        <f t="shared" si="5"/>
        <v>0</v>
      </c>
      <c r="W43" s="287" t="str">
        <f>IFERROR(V43/(O43*Lookups!$M$3),"")</f>
        <v/>
      </c>
      <c r="X43" s="287">
        <f>IFERROR(U43*'Incremental Cost'!$G$50,"")</f>
        <v>0</v>
      </c>
      <c r="Y43" s="288" t="str">
        <f>IFERROR((V43+X43)/(O43*Lookups!$M$3),"")</f>
        <v/>
      </c>
      <c r="Z43" s="430"/>
      <c r="AA43" s="8"/>
      <c r="AB43" s="8"/>
      <c r="AC43" s="8"/>
      <c r="AD43" s="8"/>
      <c r="AE43" s="8"/>
      <c r="AF43" s="8"/>
      <c r="AG43" s="8"/>
      <c r="AH43" s="8"/>
      <c r="AI43" s="8"/>
      <c r="AJ43" s="8"/>
      <c r="AK43" s="8"/>
      <c r="AL43" s="8"/>
      <c r="AM43" s="8"/>
      <c r="AN43" s="8"/>
    </row>
    <row r="44" spans="1:40" s="9" customFormat="1" ht="49.15" hidden="1" customHeight="1" x14ac:dyDescent="0.2">
      <c r="A44" s="332" t="s">
        <v>11</v>
      </c>
      <c r="B44" s="333"/>
      <c r="C44" s="334"/>
      <c r="D44" s="335"/>
      <c r="E44" s="316" t="s">
        <v>97</v>
      </c>
      <c r="F44" s="339"/>
      <c r="G44" s="345"/>
      <c r="H44" s="334"/>
      <c r="I44" s="339"/>
      <c r="J44" s="340" t="str">
        <f t="shared" si="20"/>
        <v/>
      </c>
      <c r="K44" s="116" t="s">
        <v>70</v>
      </c>
      <c r="L44" s="341"/>
      <c r="M44" s="337" t="str">
        <f t="shared" si="24"/>
        <v/>
      </c>
      <c r="N44" s="337" t="str">
        <f t="shared" si="25"/>
        <v/>
      </c>
      <c r="O44" s="227" t="str">
        <f>IFERROR(IFERROR(((D44*12000)/1000)*N44*((1/(IF(H44="yes",J44*(1-Lookups!I$9)^(2016-'HVAC Rebate Estimator'!L44),Lookups!$F$30)))-(1/F44)),"")*B44,"")</f>
        <v/>
      </c>
      <c r="P44" s="241" t="s">
        <v>96</v>
      </c>
      <c r="Q44" s="316">
        <v>1120</v>
      </c>
      <c r="R44" s="316" t="s">
        <v>7</v>
      </c>
      <c r="S44" s="375">
        <f>ROUND(IF(H44="yes",IF(F44="",'Incremental Cost'!$I$50,IF(F44=15,'Incremental Cost'!$I$50,('Incremental Cost'!$I$50+('Incremental Cost'!$M56*((F44-15)))))),IF(F44="",'Incremental Cost'!$H$50,IF(F44=15,'Incremental Cost'!$H$50,('Incremental Cost'!$H$50+('Incremental Cost'!$M56*((F44-15))))))),0)</f>
        <v>79</v>
      </c>
      <c r="T44" s="312" t="s">
        <v>4</v>
      </c>
      <c r="U44" s="313">
        <f t="shared" si="26"/>
        <v>0</v>
      </c>
      <c r="V44" s="378">
        <f t="shared" si="5"/>
        <v>0</v>
      </c>
      <c r="W44" s="287" t="str">
        <f>IFERROR(V44/(O44*Lookups!$M$3),"")</f>
        <v/>
      </c>
      <c r="X44" s="287">
        <f>IFERROR(U44*'Incremental Cost'!$G$50,"")</f>
        <v>0</v>
      </c>
      <c r="Y44" s="288" t="str">
        <f>IFERROR((V44+X44)/(O44*Lookups!$M$3),"")</f>
        <v/>
      </c>
      <c r="Z44" s="430"/>
      <c r="AA44" s="8"/>
      <c r="AB44" s="8"/>
      <c r="AC44" s="8"/>
      <c r="AD44" s="8"/>
      <c r="AE44" s="8"/>
      <c r="AF44" s="8"/>
      <c r="AG44" s="8"/>
      <c r="AH44" s="8"/>
      <c r="AI44" s="8"/>
      <c r="AJ44" s="8"/>
      <c r="AK44" s="8"/>
      <c r="AL44" s="8"/>
      <c r="AM44" s="8"/>
      <c r="AN44" s="8"/>
    </row>
    <row r="45" spans="1:40" s="9" customFormat="1" ht="49.15" hidden="1" customHeight="1" x14ac:dyDescent="0.2">
      <c r="A45" s="332" t="s">
        <v>11</v>
      </c>
      <c r="B45" s="333"/>
      <c r="C45" s="334"/>
      <c r="D45" s="335"/>
      <c r="E45" s="316" t="s">
        <v>97</v>
      </c>
      <c r="F45" s="339"/>
      <c r="G45" s="345"/>
      <c r="H45" s="334"/>
      <c r="I45" s="339"/>
      <c r="J45" s="340" t="str">
        <f t="shared" si="20"/>
        <v/>
      </c>
      <c r="K45" s="116" t="s">
        <v>70</v>
      </c>
      <c r="L45" s="341"/>
      <c r="M45" s="337" t="str">
        <f t="shared" ref="M45" si="27">IFERROR(VLOOKUP(L45,DateRange_lookup,2,FALSE),"")</f>
        <v/>
      </c>
      <c r="N45" s="337" t="str">
        <f t="shared" ref="N45" si="28">IFERROR(VLOOKUP(C45,EFLH_lookup,3,FALSE),"")</f>
        <v/>
      </c>
      <c r="O45" s="227" t="str">
        <f>IFERROR(IFERROR(((D45*12000)/1000)*N45*((1/(IF(H45="yes",J45*(1-Lookups!I$9)^(2016-'HVAC Rebate Estimator'!L45),Lookups!$F$30)))-(1/F45)),"")*B45,"")</f>
        <v/>
      </c>
      <c r="P45" s="241" t="s">
        <v>96</v>
      </c>
      <c r="Q45" s="316">
        <v>1120</v>
      </c>
      <c r="R45" s="316" t="s">
        <v>7</v>
      </c>
      <c r="S45" s="375">
        <f>ROUND(IF(H45="yes",IF(F45="",'Incremental Cost'!$I$50,IF(F45=15,'Incremental Cost'!$I$50,('Incremental Cost'!$I$50+('Incremental Cost'!$M57*((F45-15)))))),IF(F45="",'Incremental Cost'!$H$50,IF(F45=15,'Incremental Cost'!$H$50,('Incremental Cost'!$H$50+('Incremental Cost'!$M57*((F45-15))))))),0)</f>
        <v>79</v>
      </c>
      <c r="T45" s="312" t="s">
        <v>4</v>
      </c>
      <c r="U45" s="313">
        <f t="shared" ref="U45:U46" si="29">D45</f>
        <v>0</v>
      </c>
      <c r="V45" s="378">
        <f t="shared" si="5"/>
        <v>0</v>
      </c>
      <c r="W45" s="287" t="str">
        <f>IFERROR(V45/(O45*Lookups!$M$3),"")</f>
        <v/>
      </c>
      <c r="X45" s="287">
        <f>IFERROR(U45*'Incremental Cost'!$G$50,"")</f>
        <v>0</v>
      </c>
      <c r="Y45" s="288" t="str">
        <f>IFERROR((V45+X45)/(O45*Lookups!$M$3),"")</f>
        <v/>
      </c>
      <c r="Z45" s="430"/>
      <c r="AA45" s="8"/>
      <c r="AB45" s="8"/>
      <c r="AC45" s="8"/>
      <c r="AD45" s="8"/>
      <c r="AE45" s="8"/>
      <c r="AF45" s="8"/>
      <c r="AG45" s="8"/>
      <c r="AH45" s="8"/>
      <c r="AI45" s="8"/>
      <c r="AJ45" s="8"/>
      <c r="AK45" s="8"/>
      <c r="AL45" s="8"/>
      <c r="AM45" s="8"/>
      <c r="AN45" s="8"/>
    </row>
    <row r="46" spans="1:40" s="9" customFormat="1" ht="22.5" hidden="1" customHeight="1" thickBot="1" x14ac:dyDescent="0.25">
      <c r="A46" s="332" t="s">
        <v>11</v>
      </c>
      <c r="B46" s="333"/>
      <c r="C46" s="334"/>
      <c r="D46" s="335"/>
      <c r="E46" s="316" t="s">
        <v>97</v>
      </c>
      <c r="F46" s="339"/>
      <c r="G46" s="345"/>
      <c r="H46" s="334"/>
      <c r="I46" s="339"/>
      <c r="J46" s="340" t="str">
        <f t="shared" si="20"/>
        <v/>
      </c>
      <c r="K46" s="116" t="s">
        <v>70</v>
      </c>
      <c r="L46" s="341"/>
      <c r="M46" s="337" t="str">
        <f t="shared" si="6"/>
        <v/>
      </c>
      <c r="N46" s="337" t="str">
        <f t="shared" si="1"/>
        <v/>
      </c>
      <c r="O46" s="227" t="str">
        <f>IFERROR(IFERROR(((D46*12000)/1000)*N46*((1/(IF(H46="yes",J46*(1-Lookups!I$9)^(2016-'HVAC Rebate Estimator'!L46),Lookups!$F$30)))-(1/F46)),"")*B46,"")</f>
        <v/>
      </c>
      <c r="P46" s="241" t="s">
        <v>96</v>
      </c>
      <c r="Q46" s="316">
        <v>1120</v>
      </c>
      <c r="R46" s="316" t="s">
        <v>7</v>
      </c>
      <c r="S46" s="375">
        <f>ROUND(IF(H46="yes",IF(F46="",'Incremental Cost'!$I$50,IF(F46=15,'Incremental Cost'!$I$50,('Incremental Cost'!$I$50+('Incremental Cost'!$M58*((F46-15)))))),IF(F46="",'Incremental Cost'!$H$50,IF(F46=15,'Incremental Cost'!$H$50,('Incremental Cost'!$H$50+('Incremental Cost'!$M58*((F46-15))))))),0)</f>
        <v>79</v>
      </c>
      <c r="T46" s="312" t="s">
        <v>4</v>
      </c>
      <c r="U46" s="374">
        <f t="shared" si="29"/>
        <v>0</v>
      </c>
      <c r="V46" s="378">
        <f t="shared" si="5"/>
        <v>0</v>
      </c>
      <c r="W46" s="287" t="str">
        <f>IFERROR(V46/(O46*Lookups!$M$3),"")</f>
        <v/>
      </c>
      <c r="X46" s="287">
        <f>IFERROR(U46*'Incremental Cost'!$G$50,"")</f>
        <v>0</v>
      </c>
      <c r="Y46" s="288" t="str">
        <f>IFERROR((V46+X46)/(O46*Lookups!$M$3),"")</f>
        <v/>
      </c>
      <c r="Z46" s="431"/>
      <c r="AA46" s="8"/>
      <c r="AB46" s="8"/>
      <c r="AC46" s="8"/>
      <c r="AD46" s="8"/>
      <c r="AE46" s="8"/>
      <c r="AF46" s="8"/>
      <c r="AG46" s="8"/>
      <c r="AH46" s="8"/>
      <c r="AI46" s="8"/>
      <c r="AJ46" s="8"/>
      <c r="AK46" s="8"/>
      <c r="AL46" s="8"/>
      <c r="AM46" s="8"/>
      <c r="AN46" s="8"/>
    </row>
    <row r="47" spans="1:40" s="9" customFormat="1" ht="15" x14ac:dyDescent="0.2">
      <c r="A47" s="322" t="s">
        <v>428</v>
      </c>
      <c r="B47" s="323"/>
      <c r="C47" s="324"/>
      <c r="D47" s="324"/>
      <c r="E47" s="324"/>
      <c r="F47" s="324"/>
      <c r="G47" s="324"/>
      <c r="H47" s="323"/>
      <c r="I47" s="324"/>
      <c r="J47" s="324"/>
      <c r="K47" s="324"/>
      <c r="L47" s="324"/>
      <c r="M47" s="324"/>
      <c r="N47" s="324"/>
      <c r="O47" s="324"/>
      <c r="P47" s="324"/>
      <c r="Q47" s="324"/>
      <c r="R47" s="324"/>
      <c r="S47" s="324"/>
      <c r="T47" s="324"/>
      <c r="U47" s="325"/>
      <c r="V47" s="326"/>
      <c r="W47" s="324"/>
      <c r="X47" s="324"/>
      <c r="Y47" s="324"/>
      <c r="Z47" s="355"/>
      <c r="AA47" s="8"/>
      <c r="AB47" s="8"/>
      <c r="AC47" s="8"/>
      <c r="AD47" s="8"/>
      <c r="AE47" s="8"/>
      <c r="AF47" s="8"/>
      <c r="AG47" s="8"/>
      <c r="AH47" s="8"/>
      <c r="AI47" s="8"/>
      <c r="AJ47" s="8"/>
      <c r="AK47" s="8"/>
      <c r="AL47" s="8"/>
      <c r="AM47" s="8"/>
      <c r="AN47" s="8"/>
    </row>
    <row r="48" spans="1:40" s="9" customFormat="1" ht="29.25" customHeight="1" x14ac:dyDescent="0.2">
      <c r="A48" s="365"/>
      <c r="B48" s="366"/>
      <c r="C48" s="366"/>
      <c r="D48" s="364" t="s">
        <v>390</v>
      </c>
      <c r="E48" s="413"/>
      <c r="F48" s="413"/>
      <c r="G48" s="413"/>
      <c r="H48" s="413"/>
      <c r="I48" s="413"/>
      <c r="J48" s="413"/>
      <c r="K48" s="413"/>
      <c r="L48" s="413"/>
      <c r="M48" s="413"/>
      <c r="N48" s="413"/>
      <c r="O48" s="367"/>
      <c r="P48" s="366"/>
      <c r="Q48" s="368" t="s">
        <v>1</v>
      </c>
      <c r="R48" s="369" t="s">
        <v>13</v>
      </c>
      <c r="S48" s="366"/>
      <c r="T48" s="366"/>
      <c r="U48" s="367"/>
      <c r="V48" s="370"/>
      <c r="W48" s="367"/>
      <c r="X48" s="367"/>
      <c r="Y48" s="367"/>
      <c r="Z48" s="371"/>
      <c r="AA48" s="8"/>
      <c r="AB48" s="8"/>
      <c r="AC48" s="8"/>
      <c r="AD48" s="8"/>
      <c r="AE48" s="8"/>
      <c r="AF48" s="8"/>
      <c r="AG48" s="8"/>
      <c r="AH48" s="8"/>
      <c r="AI48" s="8"/>
      <c r="AJ48" s="8"/>
      <c r="AK48" s="8"/>
      <c r="AL48" s="8"/>
      <c r="AM48" s="8"/>
      <c r="AN48" s="8"/>
    </row>
    <row r="49" spans="1:40" s="40" customFormat="1" ht="123" customHeight="1" thickBot="1" x14ac:dyDescent="0.25">
      <c r="A49" s="356" t="s">
        <v>426</v>
      </c>
      <c r="B49" s="357"/>
      <c r="C49" s="334"/>
      <c r="D49" s="358"/>
      <c r="E49" s="359" t="s">
        <v>97</v>
      </c>
      <c r="F49" s="360" t="s">
        <v>104</v>
      </c>
      <c r="G49" s="361"/>
      <c r="H49" s="360" t="s">
        <v>104</v>
      </c>
      <c r="I49" s="360" t="s">
        <v>104</v>
      </c>
      <c r="J49" s="360" t="s">
        <v>104</v>
      </c>
      <c r="K49" s="360" t="s">
        <v>104</v>
      </c>
      <c r="L49" s="341"/>
      <c r="M49" s="362" t="str">
        <f t="shared" ref="M49" si="30">IFERROR(VLOOKUP(L49,DateRange_lookup,2,FALSE),"")</f>
        <v/>
      </c>
      <c r="N49" s="362" t="str">
        <f t="shared" ref="N49" si="31">IFERROR(VLOOKUP(C49,EFLH_lookup,3,FALSE),"")</f>
        <v/>
      </c>
      <c r="O49" s="266" t="str">
        <f>IFERROR(IFERROR(VLOOKUP(C49,Economizer_Savings_Lookup,2,FALSE)*D49,"")*B49,"")</f>
        <v/>
      </c>
      <c r="P49" s="360" t="s">
        <v>106</v>
      </c>
      <c r="Q49" s="267">
        <v>250</v>
      </c>
      <c r="R49" s="261" t="s">
        <v>7</v>
      </c>
      <c r="S49" s="106">
        <v>250</v>
      </c>
      <c r="T49" s="107" t="s">
        <v>394</v>
      </c>
      <c r="U49" s="268"/>
      <c r="V49" s="262">
        <f>IF(S49*B49&gt;5000,5000,S49*B49)</f>
        <v>0</v>
      </c>
      <c r="W49" s="290" t="str">
        <f>IFERROR(V49/(O49*Lookups!$M$3),"")</f>
        <v/>
      </c>
      <c r="X49" s="363">
        <v>0</v>
      </c>
      <c r="Y49" s="291" t="str">
        <f>IFERROR((V49+X49)/(O49*Lookups!$M$3),"")</f>
        <v/>
      </c>
      <c r="Z49" s="311" t="s">
        <v>427</v>
      </c>
      <c r="AA49" s="8"/>
      <c r="AB49" s="8"/>
      <c r="AC49" s="8"/>
      <c r="AD49" s="8"/>
      <c r="AE49" s="8"/>
      <c r="AF49" s="8"/>
      <c r="AG49" s="8"/>
      <c r="AH49" s="8"/>
      <c r="AI49" s="8"/>
      <c r="AJ49" s="8"/>
      <c r="AK49" s="8"/>
      <c r="AL49" s="8"/>
      <c r="AM49" s="8"/>
      <c r="AN49" s="8"/>
    </row>
    <row r="50" spans="1:40" s="40" customFormat="1" ht="123.6" hidden="1" customHeight="1" x14ac:dyDescent="0.2">
      <c r="A50" s="347" t="s">
        <v>3</v>
      </c>
      <c r="B50" s="333"/>
      <c r="C50" s="334"/>
      <c r="D50" s="335"/>
      <c r="E50" s="348" t="s">
        <v>97</v>
      </c>
      <c r="F50" s="241" t="s">
        <v>104</v>
      </c>
      <c r="G50" s="345"/>
      <c r="H50" s="241" t="s">
        <v>104</v>
      </c>
      <c r="I50" s="241" t="s">
        <v>104</v>
      </c>
      <c r="J50" s="241" t="s">
        <v>104</v>
      </c>
      <c r="K50" s="241" t="s">
        <v>104</v>
      </c>
      <c r="L50" s="341"/>
      <c r="M50" s="337" t="str">
        <f t="shared" si="6"/>
        <v/>
      </c>
      <c r="N50" s="337" t="str">
        <f t="shared" si="1"/>
        <v/>
      </c>
      <c r="O50" s="227" t="str">
        <f>IFERROR(IFERROR(VLOOKUP(C50,Economizer_Savings_Lookup,2,FALSE)*D50,"")*B50,"")</f>
        <v/>
      </c>
      <c r="P50" s="241" t="s">
        <v>106</v>
      </c>
      <c r="Q50" s="116">
        <v>250</v>
      </c>
      <c r="R50" s="316" t="s">
        <v>7</v>
      </c>
      <c r="S50" s="106">
        <v>250</v>
      </c>
      <c r="T50" s="107" t="s">
        <v>394</v>
      </c>
      <c r="U50" s="313"/>
      <c r="V50" s="262">
        <f t="shared" ref="V50:V52" si="32">IF(S50*B50&gt;5000,5000,S50*B50)</f>
        <v>0</v>
      </c>
      <c r="W50" s="287" t="str">
        <f>IFERROR(V50/(O50*Lookups!$M$3),"")</f>
        <v/>
      </c>
      <c r="X50" s="343">
        <v>0</v>
      </c>
      <c r="Y50" s="288" t="str">
        <f>IFERROR((V50+X50)/(O50*Lookups!$M$3),"")</f>
        <v/>
      </c>
      <c r="Z50" s="242" t="s">
        <v>402</v>
      </c>
      <c r="AA50" s="8"/>
      <c r="AB50" s="8"/>
      <c r="AC50" s="8"/>
      <c r="AD50" s="8"/>
      <c r="AE50" s="8"/>
      <c r="AF50" s="8"/>
      <c r="AG50" s="8"/>
      <c r="AH50" s="8"/>
      <c r="AI50" s="8"/>
      <c r="AJ50" s="8"/>
      <c r="AK50" s="8"/>
      <c r="AL50" s="8"/>
      <c r="AM50" s="8"/>
      <c r="AN50" s="8"/>
    </row>
    <row r="51" spans="1:40" s="40" customFormat="1" ht="123.6" hidden="1" customHeight="1" x14ac:dyDescent="0.2">
      <c r="A51" s="347" t="s">
        <v>3</v>
      </c>
      <c r="B51" s="333"/>
      <c r="C51" s="334"/>
      <c r="D51" s="335"/>
      <c r="E51" s="348" t="s">
        <v>97</v>
      </c>
      <c r="F51" s="241" t="s">
        <v>104</v>
      </c>
      <c r="G51" s="345"/>
      <c r="H51" s="241" t="s">
        <v>104</v>
      </c>
      <c r="I51" s="241" t="s">
        <v>104</v>
      </c>
      <c r="J51" s="241" t="s">
        <v>104</v>
      </c>
      <c r="K51" s="241" t="s">
        <v>104</v>
      </c>
      <c r="L51" s="341"/>
      <c r="M51" s="337" t="str">
        <f t="shared" ref="M51" si="33">IFERROR(VLOOKUP(L51,DateRange_lookup,2,FALSE),"")</f>
        <v/>
      </c>
      <c r="N51" s="337" t="str">
        <f t="shared" ref="N51" si="34">IFERROR(VLOOKUP(C51,EFLH_lookup,3,FALSE),"")</f>
        <v/>
      </c>
      <c r="O51" s="227" t="str">
        <f>IFERROR(IFERROR(VLOOKUP(C51,Economizer_Savings_Lookup,2,FALSE)*D51,"")*B51,"")</f>
        <v/>
      </c>
      <c r="P51" s="241" t="s">
        <v>106</v>
      </c>
      <c r="Q51" s="116">
        <v>250</v>
      </c>
      <c r="R51" s="316" t="s">
        <v>7</v>
      </c>
      <c r="S51" s="106">
        <v>250</v>
      </c>
      <c r="T51" s="107" t="s">
        <v>394</v>
      </c>
      <c r="U51" s="313"/>
      <c r="V51" s="262">
        <f t="shared" si="32"/>
        <v>0</v>
      </c>
      <c r="W51" s="287" t="str">
        <f>IFERROR(V51/(O51*Lookups!$M$3),"")</f>
        <v/>
      </c>
      <c r="X51" s="343">
        <v>0</v>
      </c>
      <c r="Y51" s="288" t="str">
        <f>IFERROR((V51+X51)/(O51*Lookups!$M$3),"")</f>
        <v/>
      </c>
      <c r="Z51" s="242" t="s">
        <v>402</v>
      </c>
      <c r="AA51" s="8"/>
      <c r="AB51" s="8"/>
      <c r="AC51" s="8"/>
      <c r="AD51" s="8"/>
      <c r="AE51" s="8"/>
      <c r="AF51" s="8"/>
      <c r="AG51" s="8"/>
      <c r="AH51" s="8"/>
      <c r="AI51" s="8"/>
      <c r="AJ51" s="8"/>
      <c r="AK51" s="8"/>
      <c r="AL51" s="8"/>
      <c r="AM51" s="8"/>
      <c r="AN51" s="8"/>
    </row>
    <row r="52" spans="1:40" s="40" customFormat="1" ht="123.6" hidden="1" customHeight="1" thickBot="1" x14ac:dyDescent="0.25">
      <c r="A52" s="347" t="s">
        <v>3</v>
      </c>
      <c r="B52" s="333"/>
      <c r="C52" s="334"/>
      <c r="D52" s="335"/>
      <c r="E52" s="348" t="s">
        <v>97</v>
      </c>
      <c r="F52" s="241" t="s">
        <v>104</v>
      </c>
      <c r="G52" s="345"/>
      <c r="H52" s="241" t="s">
        <v>104</v>
      </c>
      <c r="I52" s="241" t="s">
        <v>104</v>
      </c>
      <c r="J52" s="241" t="s">
        <v>104</v>
      </c>
      <c r="K52" s="241" t="s">
        <v>104</v>
      </c>
      <c r="L52" s="341"/>
      <c r="M52" s="337" t="str">
        <f t="shared" si="6"/>
        <v/>
      </c>
      <c r="N52" s="337" t="str">
        <f t="shared" si="1"/>
        <v/>
      </c>
      <c r="O52" s="227" t="str">
        <f>IFERROR(IFERROR(VLOOKUP(C52,Economizer_Savings_Lookup,2,FALSE)*D52,"")*B52,"")</f>
        <v/>
      </c>
      <c r="P52" s="241" t="s">
        <v>106</v>
      </c>
      <c r="Q52" s="116">
        <v>250</v>
      </c>
      <c r="R52" s="316" t="s">
        <v>7</v>
      </c>
      <c r="S52" s="106">
        <v>250</v>
      </c>
      <c r="T52" s="107" t="s">
        <v>394</v>
      </c>
      <c r="U52" s="313"/>
      <c r="V52" s="262">
        <f t="shared" si="32"/>
        <v>0</v>
      </c>
      <c r="W52" s="287" t="str">
        <f>IFERROR(V52/(O52*Lookups!$M$3),"")</f>
        <v/>
      </c>
      <c r="X52" s="343">
        <v>0</v>
      </c>
      <c r="Y52" s="288" t="str">
        <f>IFERROR((V52+X52)/(O52*Lookups!$M$3),"")</f>
        <v/>
      </c>
      <c r="Z52" s="242" t="s">
        <v>402</v>
      </c>
      <c r="AA52" s="8"/>
      <c r="AB52" s="8"/>
      <c r="AC52" s="8"/>
      <c r="AD52" s="8"/>
      <c r="AE52" s="8"/>
      <c r="AF52" s="8"/>
      <c r="AG52" s="8"/>
      <c r="AH52" s="8"/>
      <c r="AI52" s="8"/>
      <c r="AJ52" s="8"/>
      <c r="AK52" s="8"/>
      <c r="AL52" s="8"/>
      <c r="AM52" s="8"/>
      <c r="AN52" s="8"/>
    </row>
    <row r="53" spans="1:40" s="9" customFormat="1" ht="21.75" customHeight="1" x14ac:dyDescent="0.2">
      <c r="A53" s="322" t="s">
        <v>393</v>
      </c>
      <c r="B53" s="323"/>
      <c r="C53" s="324"/>
      <c r="D53" s="324"/>
      <c r="E53" s="324"/>
      <c r="F53" s="324"/>
      <c r="G53" s="324"/>
      <c r="H53" s="323"/>
      <c r="I53" s="324"/>
      <c r="J53" s="324"/>
      <c r="K53" s="324"/>
      <c r="L53" s="324"/>
      <c r="M53" s="324"/>
      <c r="N53" s="324"/>
      <c r="O53" s="324"/>
      <c r="P53" s="324"/>
      <c r="Q53" s="324"/>
      <c r="R53" s="324"/>
      <c r="S53" s="324"/>
      <c r="T53" s="324"/>
      <c r="U53" s="325"/>
      <c r="V53" s="326"/>
      <c r="W53" s="324"/>
      <c r="X53" s="324"/>
      <c r="Y53" s="324"/>
      <c r="Z53" s="355"/>
      <c r="AA53" s="8"/>
      <c r="AB53" s="8"/>
      <c r="AC53" s="8"/>
      <c r="AD53" s="8"/>
      <c r="AE53" s="8"/>
      <c r="AF53" s="8"/>
      <c r="AG53" s="8"/>
      <c r="AH53" s="8"/>
      <c r="AI53" s="8"/>
      <c r="AJ53" s="8"/>
      <c r="AK53" s="8"/>
      <c r="AL53" s="8"/>
      <c r="AM53" s="8"/>
      <c r="AN53" s="8"/>
    </row>
    <row r="54" spans="1:40" s="9" customFormat="1" ht="37.5" customHeight="1" x14ac:dyDescent="0.2">
      <c r="A54" s="365"/>
      <c r="B54" s="366"/>
      <c r="C54" s="366"/>
      <c r="D54" s="364" t="s">
        <v>392</v>
      </c>
      <c r="E54" s="413"/>
      <c r="F54" s="413"/>
      <c r="G54" s="413"/>
      <c r="H54" s="413"/>
      <c r="I54" s="413"/>
      <c r="J54" s="413"/>
      <c r="K54" s="413"/>
      <c r="L54" s="413"/>
      <c r="M54" s="413"/>
      <c r="N54" s="413"/>
      <c r="O54" s="367"/>
      <c r="P54" s="366"/>
      <c r="Q54" s="368" t="s">
        <v>1</v>
      </c>
      <c r="R54" s="369" t="s">
        <v>13</v>
      </c>
      <c r="S54" s="366"/>
      <c r="T54" s="366"/>
      <c r="U54" s="367"/>
      <c r="V54" s="370"/>
      <c r="W54" s="367"/>
      <c r="X54" s="367"/>
      <c r="Y54" s="367"/>
      <c r="Z54" s="371"/>
      <c r="AA54" s="8"/>
      <c r="AB54" s="8"/>
      <c r="AC54" s="8"/>
      <c r="AD54" s="8"/>
      <c r="AE54" s="8"/>
      <c r="AF54" s="8"/>
      <c r="AG54" s="8"/>
      <c r="AH54" s="8"/>
      <c r="AI54" s="8"/>
      <c r="AJ54" s="8"/>
      <c r="AK54" s="8"/>
      <c r="AL54" s="8"/>
      <c r="AM54" s="8"/>
      <c r="AN54" s="8"/>
    </row>
    <row r="55" spans="1:40" s="9" customFormat="1" ht="89.25" x14ac:dyDescent="0.2">
      <c r="A55" s="332" t="s">
        <v>321</v>
      </c>
      <c r="B55" s="333"/>
      <c r="C55" s="334"/>
      <c r="D55" s="335"/>
      <c r="E55" s="316" t="s">
        <v>97</v>
      </c>
      <c r="F55" s="116" t="s">
        <v>104</v>
      </c>
      <c r="G55" s="116" t="s">
        <v>104</v>
      </c>
      <c r="H55" s="334"/>
      <c r="I55" s="339"/>
      <c r="J55" s="340" t="str">
        <f t="shared" ref="J55" si="35">IFERROR(IF(I55="",VLOOKUP(M55,Baseline_Eff_lookup,6,FALSE),I55),"")</f>
        <v/>
      </c>
      <c r="K55" s="116" t="s">
        <v>70</v>
      </c>
      <c r="L55" s="341"/>
      <c r="M55" s="337" t="str">
        <f t="shared" ref="M55" si="36">IFERROR(VLOOKUP(L55,DateRange_lookup,2,FALSE),"")</f>
        <v/>
      </c>
      <c r="N55" s="337" t="str">
        <f t="shared" ref="N55" si="37">IFERROR(VLOOKUP(C55,EFLH_lookup,3,FALSE),"")</f>
        <v/>
      </c>
      <c r="O55" s="227" t="str">
        <f>IFERROR((D55*12000)/1000*N55*(1/(IF(H55="yes",J55*(1-Lookups!$I$10)^(2016-'HVAC Rebate Estimator'!L55),VLOOKUP(D55,EvapCooler_lookup,3,FALSE))))-((VLOOKUP(INT(D55),EvapCooler_lookup,2,FALSE))*Lookups!$B$69*Lookups!$B$70/Lookups!$B$71*(VLOOKUP('HVAC Rebate Estimator'!C55,EFLH_lookup,2,FALSE))),"")</f>
        <v/>
      </c>
      <c r="P55" s="241" t="s">
        <v>96</v>
      </c>
      <c r="Q55" s="316">
        <v>968</v>
      </c>
      <c r="R55" s="316" t="s">
        <v>285</v>
      </c>
      <c r="S55" s="317">
        <f>IFERROR(IF(H55="Yes",'Incremental Cost'!H$87,'Incremental Cost'!H$87),"")</f>
        <v>1</v>
      </c>
      <c r="T55" s="116" t="s">
        <v>324</v>
      </c>
      <c r="U55" s="342"/>
      <c r="V55" s="314">
        <f t="shared" ref="V55" si="38">IF((U55*S55)*B55&gt;5000,5000,(U55*S55)*B55)</f>
        <v>0</v>
      </c>
      <c r="W55" s="287" t="str">
        <f>IFERROR(V55/(O55*Lookups!$M$3),"")</f>
        <v/>
      </c>
      <c r="X55" s="343">
        <f>'Incremental Cost'!F84</f>
        <v>0</v>
      </c>
      <c r="Y55" s="288" t="str">
        <f>IFERROR((V55+X55)/(O55*Lookups!$M$3),"")</f>
        <v/>
      </c>
      <c r="Z55" s="197" t="s">
        <v>373</v>
      </c>
      <c r="AA55" s="8"/>
      <c r="AB55" s="8"/>
      <c r="AC55" s="8"/>
      <c r="AD55" s="8"/>
      <c r="AE55" s="8"/>
      <c r="AF55" s="8"/>
      <c r="AG55" s="8"/>
      <c r="AH55" s="8"/>
      <c r="AI55" s="8"/>
      <c r="AJ55" s="8"/>
      <c r="AK55" s="8"/>
      <c r="AL55" s="8"/>
      <c r="AM55" s="8"/>
      <c r="AN55" s="8"/>
    </row>
    <row r="56" spans="1:40" s="9" customFormat="1" ht="89.25" x14ac:dyDescent="0.2">
      <c r="A56" s="390" t="s">
        <v>422</v>
      </c>
      <c r="B56" s="333"/>
      <c r="C56" s="333"/>
      <c r="D56" s="333"/>
      <c r="E56" s="379" t="s">
        <v>97</v>
      </c>
      <c r="F56" s="391"/>
      <c r="G56" s="391"/>
      <c r="H56" s="391"/>
      <c r="I56" s="391"/>
      <c r="J56" s="391"/>
      <c r="K56" s="391"/>
      <c r="L56" s="391"/>
      <c r="M56" s="391"/>
      <c r="N56" s="392"/>
      <c r="O56" s="384">
        <f>B56*D56*350</f>
        <v>0</v>
      </c>
      <c r="P56" s="385" t="s">
        <v>424</v>
      </c>
      <c r="Q56" s="379"/>
      <c r="R56" s="379"/>
      <c r="S56" s="393">
        <v>100</v>
      </c>
      <c r="T56" s="391" t="s">
        <v>4</v>
      </c>
      <c r="U56" s="392"/>
      <c r="V56" s="394">
        <f>S56*D56</f>
        <v>0</v>
      </c>
      <c r="W56" s="395"/>
      <c r="X56" s="396"/>
      <c r="Y56" s="397"/>
      <c r="Z56" s="398" t="s">
        <v>423</v>
      </c>
      <c r="AA56" s="8"/>
      <c r="AB56" s="8"/>
      <c r="AC56" s="8"/>
      <c r="AD56" s="8"/>
      <c r="AE56" s="8"/>
      <c r="AF56" s="8"/>
      <c r="AG56" s="8"/>
      <c r="AH56" s="8"/>
      <c r="AI56" s="8"/>
      <c r="AJ56" s="8"/>
      <c r="AK56" s="8"/>
      <c r="AL56" s="8"/>
      <c r="AM56" s="8"/>
      <c r="AN56" s="8"/>
    </row>
    <row r="57" spans="1:40" s="9" customFormat="1" ht="15" hidden="1" x14ac:dyDescent="0.2">
      <c r="A57" s="322" t="s">
        <v>211</v>
      </c>
      <c r="B57" s="323"/>
      <c r="C57" s="324"/>
      <c r="D57" s="324"/>
      <c r="E57" s="324"/>
      <c r="F57" s="324"/>
      <c r="G57" s="324"/>
      <c r="H57" s="323"/>
      <c r="I57" s="324"/>
      <c r="J57" s="324"/>
      <c r="K57" s="324"/>
      <c r="L57" s="324"/>
      <c r="M57" s="324"/>
      <c r="N57" s="324"/>
      <c r="O57" s="324"/>
      <c r="P57" s="324"/>
      <c r="Q57" s="324"/>
      <c r="R57" s="324"/>
      <c r="S57" s="324"/>
      <c r="T57" s="324"/>
      <c r="U57" s="325"/>
      <c r="V57" s="326"/>
      <c r="W57" s="324"/>
      <c r="X57" s="324"/>
      <c r="Y57" s="324"/>
      <c r="Z57" s="355"/>
      <c r="AA57" s="8"/>
      <c r="AB57" s="8"/>
      <c r="AC57" s="8"/>
      <c r="AD57" s="8"/>
      <c r="AE57" s="8"/>
      <c r="AF57" s="8"/>
      <c r="AG57" s="8"/>
      <c r="AH57" s="8"/>
      <c r="AI57" s="8"/>
      <c r="AJ57" s="8"/>
      <c r="AK57" s="8"/>
      <c r="AL57" s="8"/>
      <c r="AM57" s="8"/>
      <c r="AN57" s="8"/>
    </row>
    <row r="58" spans="1:40" s="9" customFormat="1" ht="110.25" hidden="1" customHeight="1" x14ac:dyDescent="0.2">
      <c r="A58" s="332" t="s">
        <v>211</v>
      </c>
      <c r="B58" s="333"/>
      <c r="C58" s="334"/>
      <c r="D58" s="335"/>
      <c r="E58" s="316" t="s">
        <v>265</v>
      </c>
      <c r="F58" s="336" t="s">
        <v>104</v>
      </c>
      <c r="G58" s="116" t="s">
        <v>104</v>
      </c>
      <c r="H58" s="116" t="s">
        <v>104</v>
      </c>
      <c r="I58" s="116" t="s">
        <v>104</v>
      </c>
      <c r="J58" s="116" t="s">
        <v>104</v>
      </c>
      <c r="K58" s="116" t="s">
        <v>104</v>
      </c>
      <c r="L58" s="116" t="s">
        <v>104</v>
      </c>
      <c r="M58" s="337" t="str">
        <f>IFERROR(VLOOKUP(L58,DateRange_lookup,2,FALSE),"")</f>
        <v/>
      </c>
      <c r="N58" s="337" t="str">
        <f>IFERROR(VLOOKUP(C58,Fan_Operating_Hrs_lookup,4,FALSE),"")</f>
        <v/>
      </c>
      <c r="O58" s="227" t="str">
        <f>IFERROR(IFERROR(VLOOKUP(D58,VFD_HP_lookup,2,FALSE)*Lookups!B$52*Lookups!B$58*(1/VLOOKUP(D58,VFD_MotorEff_lookup,3,FALSE))*N58*Lookups!B$55*Lookups!B$56,"")*B58,"")</f>
        <v/>
      </c>
      <c r="P58" s="241" t="s">
        <v>96</v>
      </c>
      <c r="Q58" s="316" t="s">
        <v>267</v>
      </c>
      <c r="R58" s="316" t="s">
        <v>268</v>
      </c>
      <c r="S58" s="338" t="str">
        <f>IFERROR(VLOOKUP(D58,VFD_Rebate_lookup,4,FALSE),"")</f>
        <v/>
      </c>
      <c r="T58" s="312" t="s">
        <v>2</v>
      </c>
      <c r="U58" s="313">
        <f>B58</f>
        <v>0</v>
      </c>
      <c r="V58" s="314" t="str">
        <f>IFERROR(IF(U58*S58&gt;5000,5000,U58*S58),"")</f>
        <v/>
      </c>
      <c r="W58" s="287" t="str">
        <f>IFERROR(V58/(O58*Lookups!$M$3),"")</f>
        <v/>
      </c>
      <c r="X58" s="287" t="str">
        <f>IFERROR(VLOOKUP(D58,VFD_Rebate_lookup,5,FALSE),"")</f>
        <v/>
      </c>
      <c r="Y58" s="288" t="str">
        <f>IFERROR((V58+X58)/(O58*Lookups!$M$3),"")</f>
        <v/>
      </c>
      <c r="Z58" s="373" t="s">
        <v>391</v>
      </c>
      <c r="AA58" s="8"/>
      <c r="AB58" s="8"/>
      <c r="AC58" s="8"/>
      <c r="AD58" s="8"/>
      <c r="AE58" s="8"/>
      <c r="AF58" s="8"/>
      <c r="AG58" s="8"/>
      <c r="AH58" s="8"/>
      <c r="AI58" s="8"/>
      <c r="AJ58" s="8"/>
      <c r="AK58" s="8"/>
      <c r="AL58" s="8"/>
      <c r="AM58" s="8"/>
      <c r="AN58" s="8"/>
    </row>
    <row r="59" spans="1:40" s="9" customFormat="1" ht="110.25" hidden="1" customHeight="1" x14ac:dyDescent="0.2">
      <c r="A59" s="332" t="s">
        <v>211</v>
      </c>
      <c r="B59" s="333"/>
      <c r="C59" s="334"/>
      <c r="D59" s="335"/>
      <c r="E59" s="316" t="s">
        <v>265</v>
      </c>
      <c r="F59" s="336" t="s">
        <v>104</v>
      </c>
      <c r="G59" s="116" t="s">
        <v>104</v>
      </c>
      <c r="H59" s="116" t="s">
        <v>104</v>
      </c>
      <c r="I59" s="116" t="s">
        <v>104</v>
      </c>
      <c r="J59" s="116" t="s">
        <v>104</v>
      </c>
      <c r="K59" s="116" t="s">
        <v>104</v>
      </c>
      <c r="L59" s="116" t="s">
        <v>104</v>
      </c>
      <c r="M59" s="337" t="str">
        <f>IFERROR(VLOOKUP(L59,DateRange_lookup,2,FALSE),"")</f>
        <v/>
      </c>
      <c r="N59" s="337" t="str">
        <f>IFERROR(VLOOKUP(C59,Fan_Operating_Hrs_lookup,4,FALSE),"")</f>
        <v/>
      </c>
      <c r="O59" s="227" t="str">
        <f>IFERROR(IFERROR(VLOOKUP(D59,VFD_HP_lookup,2,FALSE)*Lookups!B$52*Lookups!B$58*(1/VLOOKUP(D59,VFD_MotorEff_lookup,3,FALSE))*N59*Lookups!B$55*Lookups!B$56,"")*B59,"")</f>
        <v/>
      </c>
      <c r="P59" s="241" t="s">
        <v>96</v>
      </c>
      <c r="Q59" s="316" t="s">
        <v>267</v>
      </c>
      <c r="R59" s="316" t="s">
        <v>268</v>
      </c>
      <c r="S59" s="338" t="str">
        <f>IFERROR(VLOOKUP(D59,VFD_Rebate_lookup,4,FALSE),"")</f>
        <v/>
      </c>
      <c r="T59" s="312" t="s">
        <v>2</v>
      </c>
      <c r="U59" s="313">
        <f>B59</f>
        <v>0</v>
      </c>
      <c r="V59" s="314" t="str">
        <f t="shared" ref="V59:V61" si="39">IFERROR(IF(U59*S59&gt;5000,5000,U59*S59),"")</f>
        <v/>
      </c>
      <c r="W59" s="287" t="str">
        <f>IFERROR(V59/(O59*Lookups!$M$3),"")</f>
        <v/>
      </c>
      <c r="X59" s="287" t="str">
        <f>IFERROR(VLOOKUP(D59,VFD_Rebate_lookup,5,FALSE),"")</f>
        <v/>
      </c>
      <c r="Y59" s="288" t="str">
        <f>IFERROR((V59+X59)/(O59*Lookups!$M$3),"")</f>
        <v/>
      </c>
      <c r="Z59" s="373" t="s">
        <v>391</v>
      </c>
      <c r="AA59" s="8"/>
      <c r="AB59" s="8"/>
      <c r="AC59" s="8"/>
      <c r="AD59" s="8"/>
      <c r="AE59" s="8"/>
      <c r="AF59" s="8"/>
      <c r="AG59" s="8"/>
      <c r="AH59" s="8"/>
      <c r="AI59" s="8"/>
      <c r="AJ59" s="8"/>
      <c r="AK59" s="8"/>
      <c r="AL59" s="8"/>
      <c r="AM59" s="8"/>
      <c r="AN59" s="8"/>
    </row>
    <row r="60" spans="1:40" s="9" customFormat="1" ht="110.25" hidden="1" customHeight="1" x14ac:dyDescent="0.2">
      <c r="A60" s="332" t="s">
        <v>211</v>
      </c>
      <c r="B60" s="333"/>
      <c r="C60" s="334"/>
      <c r="D60" s="335"/>
      <c r="E60" s="316" t="s">
        <v>265</v>
      </c>
      <c r="F60" s="336" t="s">
        <v>104</v>
      </c>
      <c r="G60" s="116" t="s">
        <v>104</v>
      </c>
      <c r="H60" s="116" t="s">
        <v>104</v>
      </c>
      <c r="I60" s="116" t="s">
        <v>104</v>
      </c>
      <c r="J60" s="116" t="s">
        <v>104</v>
      </c>
      <c r="K60" s="116" t="s">
        <v>104</v>
      </c>
      <c r="L60" s="116" t="s">
        <v>104</v>
      </c>
      <c r="M60" s="337" t="str">
        <f>IFERROR(VLOOKUP(L60,DateRange_lookup,2,FALSE),"")</f>
        <v/>
      </c>
      <c r="N60" s="337" t="str">
        <f>IFERROR(VLOOKUP(C60,Fan_Operating_Hrs_lookup,4,FALSE),"")</f>
        <v/>
      </c>
      <c r="O60" s="227" t="str">
        <f>IFERROR(IFERROR(VLOOKUP(D60,VFD_HP_lookup,2,FALSE)*Lookups!B$52*Lookups!B$58*(1/VLOOKUP(D60,VFD_MotorEff_lookup,3,FALSE))*N60*Lookups!B$55*Lookups!B$56,"")*B60,"")</f>
        <v/>
      </c>
      <c r="P60" s="241" t="s">
        <v>96</v>
      </c>
      <c r="Q60" s="316" t="s">
        <v>267</v>
      </c>
      <c r="R60" s="316" t="s">
        <v>268</v>
      </c>
      <c r="S60" s="338" t="str">
        <f>IFERROR(VLOOKUP(D60,VFD_Rebate_lookup,4,FALSE),"")</f>
        <v/>
      </c>
      <c r="T60" s="312" t="s">
        <v>2</v>
      </c>
      <c r="U60" s="313">
        <f>B60</f>
        <v>0</v>
      </c>
      <c r="V60" s="314" t="str">
        <f t="shared" si="39"/>
        <v/>
      </c>
      <c r="W60" s="287" t="str">
        <f>IFERROR(V60/(O60*Lookups!$M$3),"")</f>
        <v/>
      </c>
      <c r="X60" s="287" t="str">
        <f>IFERROR(VLOOKUP(D60,VFD_Rebate_lookup,5,FALSE),"")</f>
        <v/>
      </c>
      <c r="Y60" s="288" t="str">
        <f>IFERROR((V60+X60)/(O60*Lookups!$M$3),"")</f>
        <v/>
      </c>
      <c r="Z60" s="373" t="s">
        <v>391</v>
      </c>
      <c r="AA60" s="8"/>
      <c r="AB60" s="8"/>
      <c r="AC60" s="8"/>
      <c r="AD60" s="8"/>
      <c r="AE60" s="8"/>
      <c r="AF60" s="8"/>
      <c r="AG60" s="8"/>
      <c r="AH60" s="8"/>
      <c r="AI60" s="8"/>
      <c r="AJ60" s="8"/>
      <c r="AK60" s="8"/>
      <c r="AL60" s="8"/>
      <c r="AM60" s="8"/>
      <c r="AN60" s="8"/>
    </row>
    <row r="61" spans="1:40" s="9" customFormat="1" ht="110.25" hidden="1" customHeight="1" x14ac:dyDescent="0.2">
      <c r="A61" s="332" t="s">
        <v>211</v>
      </c>
      <c r="B61" s="333"/>
      <c r="C61" s="334"/>
      <c r="D61" s="335"/>
      <c r="E61" s="316" t="s">
        <v>265</v>
      </c>
      <c r="F61" s="336" t="s">
        <v>104</v>
      </c>
      <c r="G61" s="116" t="s">
        <v>104</v>
      </c>
      <c r="H61" s="116" t="s">
        <v>104</v>
      </c>
      <c r="I61" s="116" t="s">
        <v>104</v>
      </c>
      <c r="J61" s="116" t="s">
        <v>104</v>
      </c>
      <c r="K61" s="116" t="s">
        <v>104</v>
      </c>
      <c r="L61" s="116" t="s">
        <v>104</v>
      </c>
      <c r="M61" s="337" t="str">
        <f>IFERROR(VLOOKUP(L61,DateRange_lookup,2,FALSE),"")</f>
        <v/>
      </c>
      <c r="N61" s="337" t="str">
        <f>IFERROR(VLOOKUP(C61,Fan_Operating_Hrs_lookup,4,FALSE),"")</f>
        <v/>
      </c>
      <c r="O61" s="227" t="str">
        <f>IFERROR(IFERROR(VLOOKUP(D61,VFD_HP_lookup,2,FALSE)*Lookups!B$52*Lookups!B$58*(1/VLOOKUP(D61,VFD_MotorEff_lookup,3,FALSE))*N61*Lookups!B$55*Lookups!B$56,"")*B61,"")</f>
        <v/>
      </c>
      <c r="P61" s="241" t="s">
        <v>96</v>
      </c>
      <c r="Q61" s="316" t="s">
        <v>267</v>
      </c>
      <c r="R61" s="316" t="s">
        <v>268</v>
      </c>
      <c r="S61" s="338" t="str">
        <f>IFERROR(VLOOKUP(D61,VFD_Rebate_lookup,4,FALSE),"")</f>
        <v/>
      </c>
      <c r="T61" s="312" t="s">
        <v>2</v>
      </c>
      <c r="U61" s="313">
        <f>B61</f>
        <v>0</v>
      </c>
      <c r="V61" s="314" t="str">
        <f t="shared" si="39"/>
        <v/>
      </c>
      <c r="W61" s="287" t="str">
        <f>IFERROR(V61/(O61*Lookups!$M$3),"")</f>
        <v/>
      </c>
      <c r="X61" s="287" t="str">
        <f>IFERROR(VLOOKUP(D61,VFD_Rebate_lookup,5,FALSE),"")</f>
        <v/>
      </c>
      <c r="Y61" s="288" t="str">
        <f>IFERROR((V61+X61)/(O61*Lookups!$M$3),"")</f>
        <v/>
      </c>
      <c r="Z61" s="373" t="s">
        <v>391</v>
      </c>
      <c r="AA61" s="8"/>
      <c r="AB61" s="8"/>
      <c r="AC61" s="8"/>
      <c r="AD61" s="8"/>
      <c r="AE61" s="8"/>
      <c r="AF61" s="8"/>
      <c r="AG61" s="8"/>
      <c r="AH61" s="8"/>
      <c r="AI61" s="8"/>
      <c r="AJ61" s="8"/>
      <c r="AK61" s="8"/>
      <c r="AL61" s="8"/>
      <c r="AM61" s="8"/>
      <c r="AN61" s="8"/>
    </row>
    <row r="62" spans="1:40" s="9" customFormat="1" ht="15.75" thickBot="1" x14ac:dyDescent="0.25">
      <c r="A62" s="327" t="s">
        <v>212</v>
      </c>
      <c r="B62" s="328"/>
      <c r="C62" s="329"/>
      <c r="D62" s="329"/>
      <c r="E62" s="329"/>
      <c r="F62" s="329"/>
      <c r="G62" s="329"/>
      <c r="H62" s="328"/>
      <c r="I62" s="329"/>
      <c r="J62" s="329"/>
      <c r="K62" s="329"/>
      <c r="L62" s="329"/>
      <c r="M62" s="329"/>
      <c r="N62" s="329"/>
      <c r="O62" s="329"/>
      <c r="P62" s="329"/>
      <c r="Q62" s="329"/>
      <c r="R62" s="329"/>
      <c r="S62" s="329"/>
      <c r="T62" s="329"/>
      <c r="U62" s="330"/>
      <c r="V62" s="331"/>
      <c r="W62" s="329"/>
      <c r="X62" s="329"/>
      <c r="Y62" s="329"/>
      <c r="Z62" s="372"/>
      <c r="AA62" s="8"/>
      <c r="AB62" s="8"/>
      <c r="AC62" s="8"/>
      <c r="AD62" s="8"/>
      <c r="AE62" s="8"/>
      <c r="AF62" s="8"/>
      <c r="AG62" s="8"/>
      <c r="AH62" s="8"/>
      <c r="AI62" s="8"/>
      <c r="AJ62" s="8"/>
      <c r="AK62" s="8"/>
      <c r="AL62" s="8"/>
      <c r="AM62" s="8"/>
      <c r="AN62" s="8"/>
    </row>
    <row r="63" spans="1:40" s="9" customFormat="1" ht="60" customHeight="1" thickBot="1" x14ac:dyDescent="0.25">
      <c r="A63" s="235" t="s">
        <v>278</v>
      </c>
      <c r="B63" s="236" t="s">
        <v>209</v>
      </c>
      <c r="C63" s="236" t="s">
        <v>19</v>
      </c>
      <c r="D63" s="236" t="s">
        <v>341</v>
      </c>
      <c r="E63" s="437"/>
      <c r="F63" s="438"/>
      <c r="G63" s="438"/>
      <c r="H63" s="438"/>
      <c r="I63" s="438"/>
      <c r="J63" s="438"/>
      <c r="K63" s="438"/>
      <c r="L63" s="438"/>
      <c r="M63" s="438"/>
      <c r="N63" s="439"/>
      <c r="O63" s="169" t="s">
        <v>94</v>
      </c>
      <c r="P63" s="236" t="s">
        <v>95</v>
      </c>
      <c r="Q63" s="237" t="s">
        <v>1</v>
      </c>
      <c r="R63" s="238" t="s">
        <v>13</v>
      </c>
      <c r="S63" s="236" t="s">
        <v>398</v>
      </c>
      <c r="T63" s="236" t="s">
        <v>12</v>
      </c>
      <c r="U63" s="239" t="s">
        <v>198</v>
      </c>
      <c r="V63" s="253" t="s">
        <v>399</v>
      </c>
      <c r="W63" s="286" t="s">
        <v>400</v>
      </c>
      <c r="X63" s="286" t="s">
        <v>287</v>
      </c>
      <c r="Y63" s="286" t="s">
        <v>370</v>
      </c>
      <c r="Z63" s="240" t="s">
        <v>15</v>
      </c>
      <c r="AA63" s="8"/>
      <c r="AB63" s="8"/>
      <c r="AC63" s="8"/>
      <c r="AD63" s="8"/>
      <c r="AE63" s="8"/>
      <c r="AF63" s="8"/>
      <c r="AG63" s="8"/>
      <c r="AH63" s="8"/>
      <c r="AI63" s="8"/>
      <c r="AJ63" s="8"/>
      <c r="AK63" s="8"/>
      <c r="AL63" s="8"/>
      <c r="AM63" s="8"/>
      <c r="AN63" s="8"/>
    </row>
    <row r="64" spans="1:40" ht="27" customHeight="1" x14ac:dyDescent="0.2">
      <c r="A64" s="403" t="s">
        <v>212</v>
      </c>
      <c r="B64" s="405"/>
      <c r="C64" s="405"/>
      <c r="D64" s="407"/>
      <c r="E64" s="448"/>
      <c r="F64" s="449"/>
      <c r="G64" s="449"/>
      <c r="H64" s="449"/>
      <c r="I64" s="449"/>
      <c r="J64" s="449"/>
      <c r="K64" s="449"/>
      <c r="L64" s="449"/>
      <c r="M64" s="449"/>
      <c r="N64" s="249" t="e">
        <f>O64*3412</f>
        <v>#VALUE!</v>
      </c>
      <c r="O64" s="227" t="str">
        <f>IFERROR(D64*VLOOKUP(C64,ProgramThermostat_Savings_lookup,6,FALSE)*B64,"")</f>
        <v/>
      </c>
      <c r="P64" s="241" t="s">
        <v>96</v>
      </c>
      <c r="Q64" s="409" t="s">
        <v>104</v>
      </c>
      <c r="R64" s="409" t="s">
        <v>104</v>
      </c>
      <c r="S64" s="411">
        <f>'Incremental Cost'!B94</f>
        <v>100</v>
      </c>
      <c r="T64" s="440" t="s">
        <v>2</v>
      </c>
      <c r="U64" s="442">
        <f>B64</f>
        <v>0</v>
      </c>
      <c r="V64" s="444">
        <f>IF((U64*S64)&gt;5000,5000,(U64*S64))</f>
        <v>0</v>
      </c>
      <c r="W64" s="289" t="str">
        <f>IFERROR($V$64*($N$64/SUM($N$64:$N$65))/($O$64*Lookups!$M$3),"")</f>
        <v/>
      </c>
      <c r="X64" s="452">
        <v>0</v>
      </c>
      <c r="Y64" s="289" t="str">
        <f>IFERROR(($V$64+$X$64)*($N$64/SUM($N$64:$N$65))/($O$64*Lookups!$M$3),"")</f>
        <v/>
      </c>
      <c r="Z64" s="446" t="s">
        <v>325</v>
      </c>
    </row>
    <row r="65" spans="1:40" ht="27" customHeight="1" thickBot="1" x14ac:dyDescent="0.25">
      <c r="A65" s="404"/>
      <c r="B65" s="406"/>
      <c r="C65" s="406"/>
      <c r="D65" s="408"/>
      <c r="E65" s="450"/>
      <c r="F65" s="451"/>
      <c r="G65" s="451"/>
      <c r="H65" s="451"/>
      <c r="I65" s="451"/>
      <c r="J65" s="451"/>
      <c r="K65" s="451"/>
      <c r="L65" s="451"/>
      <c r="M65" s="451"/>
      <c r="N65" s="257" t="e">
        <f>O65*10*100066</f>
        <v>#VALUE!</v>
      </c>
      <c r="O65" s="258" t="str">
        <f>IFERROR(D64*VLOOKUP(C64,ProgramThermostat_Savings_lookup,7,FALSE)*B64/10,"")</f>
        <v/>
      </c>
      <c r="P65" s="259" t="s">
        <v>107</v>
      </c>
      <c r="Q65" s="410"/>
      <c r="R65" s="410"/>
      <c r="S65" s="412"/>
      <c r="T65" s="441"/>
      <c r="U65" s="443"/>
      <c r="V65" s="445"/>
      <c r="W65" s="292" t="str">
        <f>IFERROR($V$64*($N$65/SUM($N$64:$N$65))/(($O$65*10)*Lookups!$M$4),"")</f>
        <v/>
      </c>
      <c r="X65" s="453"/>
      <c r="Y65" s="292" t="str">
        <f>IFERROR(($V$64+$X$64)*($N$65/SUM($N$64:$N$65))/(($O$65*10)*Lookups!$M$4),"")</f>
        <v/>
      </c>
      <c r="Z65" s="447"/>
    </row>
    <row r="66" spans="1:40" ht="27" customHeight="1" thickBot="1" x14ac:dyDescent="0.25">
      <c r="A66" s="327" t="s">
        <v>406</v>
      </c>
      <c r="B66" s="328"/>
      <c r="C66" s="329"/>
      <c r="D66" s="329"/>
      <c r="E66" s="329"/>
      <c r="F66" s="329"/>
      <c r="G66" s="329"/>
      <c r="H66" s="328"/>
      <c r="I66" s="329"/>
      <c r="J66" s="329"/>
      <c r="K66" s="329"/>
      <c r="L66" s="329"/>
      <c r="M66" s="329"/>
      <c r="N66" s="329"/>
      <c r="O66" s="329"/>
      <c r="P66" s="329"/>
      <c r="Q66" s="329"/>
      <c r="R66" s="329"/>
      <c r="S66" s="329"/>
      <c r="T66" s="329"/>
      <c r="U66" s="330"/>
      <c r="V66" s="331"/>
      <c r="W66" s="329"/>
      <c r="X66" s="329"/>
      <c r="Y66" s="329"/>
      <c r="Z66" s="372"/>
    </row>
    <row r="67" spans="1:40" s="9" customFormat="1" ht="75.75" customHeight="1" thickBot="1" x14ac:dyDescent="0.25">
      <c r="A67" s="364"/>
      <c r="B67" s="364" t="s">
        <v>209</v>
      </c>
      <c r="C67" s="364" t="s">
        <v>19</v>
      </c>
      <c r="D67" s="364" t="s">
        <v>420</v>
      </c>
      <c r="E67" s="364" t="s">
        <v>93</v>
      </c>
      <c r="F67" s="364" t="s">
        <v>417</v>
      </c>
      <c r="H67" s="364" t="s">
        <v>409</v>
      </c>
      <c r="J67" s="364" t="s">
        <v>407</v>
      </c>
      <c r="K67" s="367" t="s">
        <v>98</v>
      </c>
      <c r="L67" s="364" t="s">
        <v>408</v>
      </c>
      <c r="M67" s="367"/>
      <c r="N67" s="367"/>
      <c r="O67" s="367"/>
      <c r="P67" s="367"/>
      <c r="Q67" s="367"/>
      <c r="R67" s="367"/>
      <c r="S67" s="367"/>
      <c r="T67" s="367"/>
      <c r="U67" s="367"/>
      <c r="V67" s="367"/>
      <c r="W67" s="367" t="s">
        <v>400</v>
      </c>
      <c r="X67" s="367" t="s">
        <v>287</v>
      </c>
      <c r="Y67" s="367" t="s">
        <v>370</v>
      </c>
      <c r="Z67" s="367" t="s">
        <v>15</v>
      </c>
      <c r="AA67" s="8"/>
      <c r="AB67" s="8"/>
      <c r="AC67" s="8"/>
      <c r="AD67" s="8"/>
      <c r="AE67" s="8"/>
      <c r="AF67" s="8"/>
      <c r="AG67" s="8"/>
      <c r="AH67" s="8"/>
      <c r="AI67" s="8"/>
      <c r="AJ67" s="8"/>
      <c r="AK67" s="8"/>
      <c r="AL67" s="8"/>
      <c r="AM67" s="8"/>
      <c r="AN67" s="8"/>
    </row>
    <row r="68" spans="1:40" s="9" customFormat="1" ht="60" customHeight="1" thickBot="1" x14ac:dyDescent="0.25">
      <c r="A68" s="332" t="s">
        <v>419</v>
      </c>
      <c r="B68" s="333"/>
      <c r="C68" s="334"/>
      <c r="D68" s="333"/>
      <c r="E68" s="380" t="s">
        <v>348</v>
      </c>
      <c r="F68" s="345"/>
      <c r="H68" s="334"/>
      <c r="J68" s="333"/>
      <c r="K68" s="386"/>
      <c r="L68" s="334"/>
      <c r="M68" s="386"/>
      <c r="N68" s="386"/>
      <c r="O68" s="227"/>
      <c r="P68" s="241" t="s">
        <v>421</v>
      </c>
      <c r="Q68" s="387"/>
      <c r="R68" s="386"/>
      <c r="S68" s="389">
        <f>IFERROR(IF(J68="HRV",IF(OR(L68="YES",H68="Yes"),INDEX('Incremental Cost'!B116:B118,MATCH(F68,'Incremental Cost'!A116:A118,1)),IF(AND(L68="No",H68="No"),INDEX('Incremental Cost'!B111:B114,MATCH(F68,'Incremental Cost'!A111:A114,1)),)),
IF(J68="ERV",IF(OR(L68="YES",H68="Yes"),INDEX('Incremental Cost'!B126:B128,MATCH(F68,'Incremental Cost'!A126:A128,1)),IF(AND(L68="No",H68="No"),INDEX('Incremental Cost'!B121:B124,MATCH(F68,'Incremental Cost'!A121:A124,1)),)),)),)</f>
        <v>0</v>
      </c>
      <c r="T68" s="380" t="s">
        <v>418</v>
      </c>
      <c r="U68" s="380">
        <f>D68</f>
        <v>0</v>
      </c>
      <c r="V68" s="380">
        <f>MIN(5000,B68*S68*U68)</f>
        <v>0</v>
      </c>
      <c r="W68" s="388"/>
      <c r="X68" s="388"/>
      <c r="Y68" s="388"/>
      <c r="Z68" s="197" t="s">
        <v>425</v>
      </c>
    </row>
    <row r="69" spans="1:40" ht="33" customHeight="1" thickBot="1" x14ac:dyDescent="0.25">
      <c r="A69" s="432"/>
      <c r="B69" s="433"/>
      <c r="C69" s="433"/>
      <c r="D69" s="433"/>
      <c r="E69" s="433"/>
      <c r="F69" s="433"/>
      <c r="G69" s="433"/>
      <c r="H69" s="433"/>
      <c r="I69" s="433"/>
      <c r="J69" s="433"/>
      <c r="K69" s="433"/>
      <c r="L69" s="433"/>
      <c r="M69" s="433"/>
      <c r="N69" s="433"/>
      <c r="O69" s="433"/>
      <c r="P69" s="434"/>
      <c r="Q69" s="422" t="s">
        <v>389</v>
      </c>
      <c r="R69" s="423"/>
      <c r="S69" s="423"/>
      <c r="T69" s="423"/>
      <c r="U69" s="424"/>
      <c r="V69" s="260">
        <f>IF(SUM(V15:V19,V21:V24,V27:V52,V55:V56,V58:V61,V64,V68)&gt;T8,T8,SUM(V15:V19,V21:V24,V27:V52,V55:V56,V58:V61,V64,V68))</f>
        <v>0</v>
      </c>
      <c r="W69" s="118"/>
      <c r="X69" s="118"/>
      <c r="Y69" s="118"/>
      <c r="Z69" s="119"/>
    </row>
    <row r="70" spans="1:40" ht="30.75" customHeight="1" thickBot="1" x14ac:dyDescent="0.25">
      <c r="A70" s="419" t="s">
        <v>401</v>
      </c>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1"/>
    </row>
    <row r="71" spans="1:40" s="18" customFormat="1" ht="21.6" customHeight="1" x14ac:dyDescent="0.2">
      <c r="A71" s="13"/>
      <c r="B71" s="13"/>
      <c r="C71" s="13"/>
      <c r="D71" s="13"/>
      <c r="E71" s="13"/>
      <c r="F71" s="13"/>
      <c r="G71" s="13"/>
      <c r="H71" s="13"/>
      <c r="I71" s="13"/>
      <c r="J71" s="13"/>
      <c r="K71" s="13"/>
      <c r="L71" s="13"/>
      <c r="M71" s="13"/>
      <c r="N71" s="13"/>
      <c r="O71" s="165"/>
      <c r="P71" s="13"/>
      <c r="Q71" s="2"/>
      <c r="R71" s="2"/>
      <c r="S71" s="2"/>
      <c r="T71" s="2"/>
      <c r="U71" s="14"/>
      <c r="V71" s="2"/>
      <c r="W71" s="250"/>
      <c r="X71" s="250"/>
      <c r="Y71" s="2"/>
      <c r="Z71" s="2"/>
      <c r="AA71" s="17"/>
      <c r="AB71" s="17"/>
      <c r="AC71" s="17"/>
      <c r="AD71" s="17"/>
      <c r="AE71" s="17"/>
      <c r="AF71" s="17"/>
      <c r="AG71" s="17"/>
      <c r="AH71" s="17"/>
      <c r="AI71" s="17"/>
      <c r="AJ71" s="17"/>
      <c r="AK71" s="17"/>
      <c r="AL71" s="17"/>
      <c r="AM71" s="17"/>
      <c r="AN71" s="17"/>
    </row>
    <row r="72" spans="1:40" ht="45" customHeight="1" x14ac:dyDescent="0.2">
      <c r="A72" s="13"/>
      <c r="B72" s="13"/>
      <c r="C72" s="13"/>
      <c r="D72" s="13"/>
      <c r="E72" s="13"/>
      <c r="F72" s="13"/>
      <c r="G72" s="13"/>
      <c r="H72" s="13"/>
      <c r="I72" s="13"/>
      <c r="J72" s="13"/>
      <c r="K72" s="13"/>
      <c r="L72" s="13"/>
      <c r="M72" s="115"/>
      <c r="N72" s="13"/>
      <c r="O72" s="228"/>
      <c r="P72" s="13"/>
      <c r="Q72" s="2"/>
      <c r="R72" s="2"/>
      <c r="S72" s="2"/>
      <c r="T72" s="2"/>
      <c r="U72" s="14"/>
      <c r="V72" s="2"/>
      <c r="W72" s="250"/>
      <c r="X72" s="250"/>
      <c r="Y72" s="2"/>
      <c r="Z72" s="17"/>
    </row>
    <row r="73" spans="1:40" ht="32.450000000000003" customHeight="1" x14ac:dyDescent="0.2">
      <c r="A73" s="13"/>
      <c r="B73" s="13"/>
      <c r="C73" s="13"/>
      <c r="D73" s="13"/>
      <c r="E73" s="13"/>
      <c r="F73" s="13"/>
      <c r="G73" s="13"/>
      <c r="H73" s="13"/>
      <c r="I73" s="13"/>
      <c r="J73" s="13"/>
      <c r="K73" s="13"/>
      <c r="L73" s="13"/>
      <c r="M73" s="13"/>
      <c r="N73" s="13"/>
      <c r="O73" s="13"/>
      <c r="P73" s="13"/>
      <c r="Q73" s="2"/>
      <c r="R73" s="2"/>
      <c r="S73" s="2"/>
      <c r="T73" s="2"/>
      <c r="U73" s="14"/>
      <c r="V73" s="2"/>
      <c r="W73" s="2"/>
      <c r="X73" s="2"/>
      <c r="Y73" s="2"/>
    </row>
    <row r="74" spans="1:40" x14ac:dyDescent="0.2">
      <c r="A74" s="13"/>
      <c r="B74" s="13"/>
      <c r="C74" s="13"/>
      <c r="D74" s="13"/>
      <c r="E74" s="13"/>
      <c r="F74" s="13"/>
      <c r="G74" s="13"/>
      <c r="H74" s="13"/>
      <c r="I74" s="13"/>
      <c r="J74" s="13"/>
      <c r="K74" s="13"/>
      <c r="L74" s="13"/>
      <c r="M74" s="13"/>
      <c r="N74" s="13"/>
      <c r="O74" s="13"/>
      <c r="P74" s="13"/>
      <c r="Q74" s="2"/>
      <c r="R74" s="2"/>
      <c r="S74" s="2"/>
      <c r="T74" s="2"/>
      <c r="U74" s="14"/>
      <c r="V74" s="2"/>
      <c r="W74" s="2"/>
      <c r="X74" s="2"/>
      <c r="Y74" s="2"/>
    </row>
    <row r="75" spans="1:40" x14ac:dyDescent="0.2">
      <c r="A75" s="13"/>
      <c r="B75" s="13"/>
      <c r="C75" s="13"/>
      <c r="D75" s="13"/>
      <c r="E75" s="13"/>
      <c r="F75" s="13"/>
      <c r="G75" s="13"/>
      <c r="H75" s="13"/>
      <c r="I75" s="13"/>
      <c r="J75" s="13"/>
      <c r="K75" s="13"/>
      <c r="L75" s="13"/>
      <c r="M75" s="13"/>
      <c r="N75" s="13"/>
      <c r="O75" s="13"/>
      <c r="P75" s="13"/>
      <c r="Q75" s="2"/>
      <c r="R75" s="2"/>
      <c r="S75" s="2"/>
      <c r="T75" s="2"/>
      <c r="U75" s="14"/>
      <c r="V75" s="2"/>
      <c r="W75" s="2"/>
      <c r="X75" s="2"/>
      <c r="Y75" s="2"/>
    </row>
    <row r="76" spans="1:40" x14ac:dyDescent="0.2">
      <c r="A76" s="13"/>
      <c r="B76" s="13"/>
      <c r="C76" s="13"/>
      <c r="D76" s="13"/>
      <c r="E76" s="13"/>
      <c r="F76" s="13"/>
      <c r="G76" s="13"/>
      <c r="H76" s="13"/>
      <c r="I76" s="13"/>
      <c r="J76" s="13"/>
      <c r="K76" s="13"/>
      <c r="L76" s="13"/>
      <c r="M76" s="13"/>
      <c r="N76" s="13"/>
      <c r="O76" s="13"/>
      <c r="P76" s="13"/>
      <c r="Q76" s="2"/>
      <c r="R76" s="2"/>
      <c r="S76" s="2"/>
      <c r="T76" s="2"/>
      <c r="U76" s="14"/>
      <c r="V76" s="2"/>
      <c r="W76" s="2"/>
      <c r="X76" s="2"/>
      <c r="Y76" s="2"/>
    </row>
    <row r="77" spans="1:40" x14ac:dyDescent="0.2">
      <c r="A77" s="13"/>
      <c r="B77" s="13"/>
      <c r="C77" s="13"/>
      <c r="D77" s="13"/>
      <c r="E77" s="13"/>
      <c r="F77" s="13"/>
      <c r="G77" s="13"/>
      <c r="H77" s="13"/>
      <c r="I77" s="13"/>
      <c r="J77" s="13"/>
      <c r="K77" s="13"/>
      <c r="L77" s="13"/>
      <c r="M77" s="13"/>
      <c r="N77" s="13"/>
      <c r="O77" s="13"/>
      <c r="P77" s="13"/>
      <c r="Q77" s="2"/>
      <c r="R77" s="2"/>
      <c r="S77" s="2"/>
      <c r="T77" s="2"/>
      <c r="U77" s="14"/>
      <c r="V77" s="2"/>
      <c r="W77" s="2"/>
      <c r="X77" s="2"/>
      <c r="Y77" s="2"/>
    </row>
    <row r="78" spans="1:40" x14ac:dyDescent="0.2">
      <c r="A78" s="13"/>
      <c r="B78" s="13"/>
      <c r="C78" s="13"/>
      <c r="D78" s="13"/>
      <c r="E78" s="13"/>
      <c r="F78" s="13"/>
      <c r="G78" s="13"/>
      <c r="H78" s="13"/>
      <c r="I78" s="13"/>
      <c r="J78" s="13"/>
      <c r="K78" s="13"/>
      <c r="L78" s="13"/>
      <c r="M78" s="13"/>
      <c r="N78" s="13"/>
      <c r="O78" s="13"/>
      <c r="P78" s="13"/>
      <c r="Q78" s="2"/>
      <c r="R78" s="2"/>
      <c r="S78" s="2"/>
      <c r="T78" s="2"/>
      <c r="U78" s="14"/>
      <c r="V78" s="2"/>
      <c r="W78" s="2"/>
      <c r="X78" s="2"/>
      <c r="Y78" s="2"/>
    </row>
    <row r="79" spans="1:40" x14ac:dyDescent="0.2">
      <c r="A79" s="13"/>
      <c r="B79" s="13"/>
      <c r="C79" s="13"/>
      <c r="D79" s="13"/>
      <c r="E79" s="13"/>
      <c r="F79" s="13"/>
      <c r="G79" s="13"/>
      <c r="H79" s="13"/>
      <c r="I79" s="13"/>
      <c r="J79" s="13"/>
      <c r="K79" s="13"/>
      <c r="L79" s="13"/>
      <c r="M79" s="13"/>
      <c r="N79" s="13"/>
      <c r="O79" s="13"/>
      <c r="P79" s="13"/>
      <c r="Q79" s="2"/>
      <c r="R79" s="2"/>
      <c r="S79" s="2"/>
      <c r="T79" s="2"/>
      <c r="U79" s="14"/>
      <c r="V79" s="2"/>
      <c r="W79" s="2"/>
      <c r="X79" s="2"/>
      <c r="Y79" s="2"/>
    </row>
    <row r="80" spans="1:40" x14ac:dyDescent="0.2">
      <c r="A80" s="13"/>
      <c r="B80" s="13"/>
      <c r="C80" s="13"/>
      <c r="D80" s="13"/>
      <c r="E80" s="13"/>
      <c r="F80" s="13"/>
      <c r="G80" s="13"/>
      <c r="H80" s="13"/>
      <c r="I80" s="13"/>
      <c r="J80" s="13"/>
      <c r="K80" s="13"/>
      <c r="L80" s="13"/>
      <c r="M80" s="13"/>
      <c r="N80" s="13"/>
      <c r="O80" s="13"/>
      <c r="P80" s="13"/>
      <c r="Q80" s="2"/>
      <c r="R80" s="2"/>
      <c r="S80" s="2"/>
      <c r="T80" s="2"/>
      <c r="U80" s="14"/>
      <c r="V80" s="2"/>
      <c r="W80" s="2"/>
      <c r="X80" s="2"/>
      <c r="Y80" s="2"/>
    </row>
    <row r="81" spans="1:25" x14ac:dyDescent="0.2">
      <c r="A81" s="13"/>
      <c r="B81" s="13"/>
      <c r="C81" s="13"/>
      <c r="D81" s="13"/>
      <c r="E81" s="13"/>
      <c r="F81" s="13"/>
      <c r="G81" s="13"/>
      <c r="H81" s="13"/>
      <c r="I81" s="13"/>
      <c r="J81" s="13"/>
      <c r="K81" s="13"/>
      <c r="L81" s="13"/>
      <c r="M81" s="13"/>
      <c r="N81" s="13"/>
      <c r="O81" s="13"/>
      <c r="P81" s="13"/>
      <c r="Q81" s="2"/>
      <c r="R81" s="2"/>
      <c r="S81" s="2"/>
      <c r="T81" s="2"/>
      <c r="U81" s="14"/>
      <c r="V81" s="2"/>
      <c r="W81" s="2"/>
      <c r="X81" s="2"/>
      <c r="Y81" s="2"/>
    </row>
    <row r="82" spans="1:25" x14ac:dyDescent="0.2">
      <c r="A82" s="13"/>
      <c r="B82" s="13"/>
      <c r="C82" s="13"/>
      <c r="D82" s="13"/>
      <c r="E82" s="13"/>
      <c r="F82" s="13"/>
      <c r="G82" s="13"/>
      <c r="H82" s="13"/>
      <c r="I82" s="13"/>
      <c r="J82" s="13"/>
      <c r="K82" s="13"/>
      <c r="L82" s="13"/>
      <c r="M82" s="13"/>
      <c r="N82" s="13"/>
      <c r="O82" s="13"/>
      <c r="P82" s="13"/>
      <c r="Q82" s="2"/>
      <c r="R82" s="2"/>
      <c r="S82" s="2"/>
      <c r="T82" s="2"/>
      <c r="U82" s="14"/>
      <c r="V82" s="2"/>
      <c r="W82" s="2"/>
      <c r="X82" s="2"/>
      <c r="Y82" s="2"/>
    </row>
    <row r="83" spans="1:25" x14ac:dyDescent="0.2">
      <c r="A83" s="13"/>
      <c r="B83" s="13"/>
      <c r="C83" s="13"/>
      <c r="D83" s="13"/>
      <c r="E83" s="13"/>
      <c r="F83" s="13"/>
      <c r="G83" s="13"/>
      <c r="H83" s="13"/>
      <c r="I83" s="13"/>
      <c r="J83" s="13"/>
      <c r="K83" s="13"/>
      <c r="L83" s="13"/>
      <c r="M83" s="13"/>
      <c r="N83" s="13"/>
      <c r="O83" s="13"/>
      <c r="P83" s="13"/>
      <c r="Q83" s="2"/>
      <c r="R83" s="2"/>
      <c r="S83" s="2"/>
      <c r="T83" s="2"/>
      <c r="U83" s="14"/>
      <c r="V83" s="2"/>
      <c r="W83" s="2"/>
      <c r="X83" s="2"/>
      <c r="Y83" s="2"/>
    </row>
    <row r="84" spans="1:25" x14ac:dyDescent="0.2">
      <c r="A84" s="13"/>
      <c r="B84" s="13"/>
      <c r="C84" s="13"/>
      <c r="D84" s="13"/>
      <c r="E84" s="13"/>
      <c r="F84" s="13"/>
      <c r="G84" s="13"/>
      <c r="H84" s="13"/>
      <c r="I84" s="13"/>
      <c r="J84" s="13"/>
      <c r="K84" s="13"/>
      <c r="L84" s="13"/>
      <c r="M84" s="13"/>
      <c r="N84" s="13"/>
      <c r="O84" s="13"/>
      <c r="P84" s="13"/>
      <c r="Q84" s="2"/>
      <c r="R84" s="2"/>
      <c r="S84" s="2"/>
      <c r="T84" s="2"/>
      <c r="U84" s="14"/>
      <c r="V84" s="2"/>
      <c r="W84" s="2"/>
      <c r="X84" s="2"/>
      <c r="Y84" s="2"/>
    </row>
    <row r="85" spans="1:25" x14ac:dyDescent="0.2">
      <c r="A85" s="13"/>
      <c r="B85" s="13"/>
      <c r="C85" s="13"/>
      <c r="D85" s="13"/>
      <c r="E85" s="13"/>
      <c r="F85" s="13"/>
      <c r="G85" s="13"/>
      <c r="H85" s="13"/>
      <c r="I85" s="13"/>
      <c r="J85" s="13"/>
      <c r="K85" s="13"/>
      <c r="L85" s="13"/>
      <c r="M85" s="13"/>
      <c r="N85" s="13"/>
      <c r="O85" s="13"/>
      <c r="P85" s="13"/>
      <c r="Q85" s="2"/>
      <c r="R85" s="2"/>
      <c r="S85" s="2"/>
      <c r="T85" s="2"/>
      <c r="U85" s="14"/>
      <c r="V85" s="2"/>
      <c r="W85" s="2"/>
      <c r="X85" s="2"/>
      <c r="Y85" s="2"/>
    </row>
    <row r="86" spans="1:25" x14ac:dyDescent="0.2">
      <c r="A86" s="13"/>
      <c r="B86" s="13"/>
      <c r="C86" s="13"/>
      <c r="D86" s="13"/>
      <c r="E86" s="13"/>
      <c r="F86" s="13"/>
      <c r="G86" s="13"/>
      <c r="H86" s="13"/>
      <c r="I86" s="13"/>
      <c r="J86" s="13"/>
      <c r="K86" s="13"/>
      <c r="L86" s="13"/>
      <c r="M86" s="13"/>
      <c r="N86" s="13"/>
      <c r="O86" s="13"/>
      <c r="P86" s="13"/>
      <c r="Q86" s="2"/>
      <c r="R86" s="2"/>
      <c r="S86" s="2"/>
      <c r="T86" s="2"/>
      <c r="U86" s="14"/>
      <c r="V86" s="2"/>
      <c r="W86" s="2"/>
      <c r="X86" s="2"/>
      <c r="Y86" s="2"/>
    </row>
    <row r="87" spans="1:25" x14ac:dyDescent="0.2">
      <c r="A87" s="13"/>
      <c r="B87" s="13"/>
      <c r="C87" s="13"/>
      <c r="D87" s="13"/>
      <c r="E87" s="13"/>
      <c r="F87" s="13"/>
      <c r="G87" s="13"/>
      <c r="H87" s="13"/>
      <c r="I87" s="13"/>
      <c r="J87" s="13"/>
      <c r="K87" s="13"/>
      <c r="L87" s="13"/>
      <c r="M87" s="13"/>
      <c r="N87" s="13"/>
      <c r="O87" s="13"/>
      <c r="P87" s="13"/>
      <c r="Q87" s="2"/>
      <c r="R87" s="2"/>
      <c r="S87" s="2"/>
      <c r="T87" s="2"/>
      <c r="U87" s="14"/>
      <c r="V87" s="2"/>
      <c r="W87" s="2"/>
      <c r="X87" s="2"/>
      <c r="Y87" s="2"/>
    </row>
    <row r="88" spans="1:25" x14ac:dyDescent="0.2">
      <c r="A88" s="13"/>
      <c r="B88" s="13"/>
      <c r="C88" s="13"/>
      <c r="D88" s="13"/>
      <c r="E88" s="13"/>
      <c r="F88" s="13"/>
      <c r="G88" s="13"/>
      <c r="H88" s="13"/>
      <c r="I88" s="13"/>
      <c r="J88" s="13"/>
      <c r="K88" s="13"/>
      <c r="L88" s="13"/>
      <c r="M88" s="13"/>
      <c r="N88" s="13"/>
      <c r="O88" s="13"/>
      <c r="P88" s="13"/>
      <c r="Q88" s="2"/>
      <c r="R88" s="2"/>
      <c r="S88" s="2"/>
      <c r="T88" s="2"/>
      <c r="U88" s="14"/>
      <c r="V88" s="2"/>
      <c r="W88" s="2"/>
      <c r="X88" s="2"/>
      <c r="Y88" s="2"/>
    </row>
    <row r="89" spans="1:25" x14ac:dyDescent="0.2">
      <c r="A89" s="13"/>
      <c r="B89" s="13"/>
      <c r="C89" s="13"/>
      <c r="D89" s="13"/>
      <c r="E89" s="13"/>
      <c r="F89" s="13"/>
      <c r="G89" s="13"/>
      <c r="H89" s="13"/>
      <c r="I89" s="13"/>
      <c r="J89" s="13"/>
      <c r="K89" s="13"/>
      <c r="L89" s="13"/>
      <c r="M89" s="13"/>
      <c r="N89" s="13"/>
      <c r="O89" s="13"/>
      <c r="P89" s="13"/>
      <c r="Q89" s="2"/>
      <c r="R89" s="2"/>
      <c r="S89" s="2"/>
      <c r="T89" s="2"/>
      <c r="U89" s="14"/>
      <c r="V89" s="2"/>
      <c r="W89" s="2"/>
      <c r="X89" s="2"/>
      <c r="Y89" s="2"/>
    </row>
    <row r="90" spans="1:25" x14ac:dyDescent="0.2">
      <c r="A90" s="13"/>
      <c r="B90" s="13"/>
      <c r="C90" s="13"/>
      <c r="D90" s="13"/>
      <c r="E90" s="13"/>
      <c r="F90" s="13"/>
      <c r="G90" s="13"/>
      <c r="H90" s="13"/>
      <c r="I90" s="13"/>
      <c r="J90" s="13"/>
      <c r="K90" s="13"/>
      <c r="L90" s="13"/>
      <c r="M90" s="13"/>
      <c r="N90" s="13"/>
      <c r="O90" s="13"/>
      <c r="P90" s="13"/>
      <c r="Q90" s="2"/>
      <c r="R90" s="2"/>
      <c r="S90" s="2"/>
      <c r="T90" s="2"/>
      <c r="U90" s="14"/>
      <c r="V90" s="2"/>
      <c r="W90" s="2"/>
      <c r="X90" s="2"/>
      <c r="Y90" s="2"/>
    </row>
    <row r="91" spans="1:25" x14ac:dyDescent="0.2">
      <c r="A91" s="13"/>
      <c r="B91" s="13"/>
      <c r="C91" s="13"/>
      <c r="D91" s="13"/>
      <c r="E91" s="13"/>
      <c r="F91" s="13"/>
      <c r="G91" s="13"/>
      <c r="H91" s="13"/>
      <c r="I91" s="13"/>
      <c r="J91" s="13"/>
      <c r="K91" s="13"/>
      <c r="L91" s="13"/>
      <c r="M91" s="13"/>
      <c r="N91" s="13"/>
      <c r="O91" s="13"/>
      <c r="P91" s="13"/>
      <c r="Q91" s="2"/>
      <c r="R91" s="2"/>
      <c r="S91" s="2"/>
      <c r="T91" s="2"/>
      <c r="U91" s="14"/>
      <c r="V91" s="2"/>
      <c r="W91" s="2"/>
      <c r="X91" s="2"/>
      <c r="Y91" s="2"/>
    </row>
    <row r="92" spans="1:25" x14ac:dyDescent="0.2">
      <c r="A92" s="13"/>
      <c r="B92" s="13"/>
      <c r="C92" s="13"/>
      <c r="D92" s="13"/>
      <c r="E92" s="13"/>
      <c r="F92" s="13"/>
      <c r="G92" s="13"/>
      <c r="H92" s="13"/>
      <c r="I92" s="13"/>
      <c r="J92" s="13"/>
      <c r="K92" s="13"/>
      <c r="L92" s="13"/>
      <c r="M92" s="13"/>
      <c r="N92" s="13"/>
      <c r="O92" s="13"/>
      <c r="P92" s="13"/>
      <c r="Q92" s="2"/>
      <c r="R92" s="2"/>
      <c r="S92" s="2"/>
      <c r="T92" s="2"/>
      <c r="U92" s="14"/>
      <c r="V92" s="2"/>
      <c r="W92" s="2"/>
      <c r="X92" s="2"/>
      <c r="Y92" s="2"/>
    </row>
    <row r="93" spans="1:25" x14ac:dyDescent="0.2">
      <c r="A93" s="13"/>
      <c r="B93" s="13"/>
      <c r="C93" s="13"/>
      <c r="D93" s="13"/>
      <c r="E93" s="13"/>
      <c r="F93" s="13"/>
      <c r="G93" s="13"/>
      <c r="H93" s="13"/>
      <c r="I93" s="13"/>
      <c r="J93" s="13"/>
      <c r="K93" s="13"/>
      <c r="L93" s="13"/>
      <c r="M93" s="13"/>
      <c r="N93" s="13"/>
      <c r="O93" s="13"/>
      <c r="P93" s="13"/>
      <c r="Q93" s="2"/>
      <c r="R93" s="2"/>
      <c r="S93" s="2"/>
      <c r="T93" s="2"/>
      <c r="U93" s="14"/>
      <c r="V93" s="2"/>
      <c r="W93" s="2"/>
      <c r="X93" s="2"/>
      <c r="Y93" s="2"/>
    </row>
    <row r="94" spans="1:25" x14ac:dyDescent="0.2">
      <c r="A94" s="13"/>
      <c r="B94" s="13"/>
      <c r="C94" s="13"/>
      <c r="D94" s="13"/>
      <c r="E94" s="13"/>
      <c r="F94" s="13"/>
      <c r="G94" s="13"/>
      <c r="H94" s="13"/>
      <c r="I94" s="13"/>
      <c r="J94" s="13"/>
      <c r="K94" s="13"/>
      <c r="L94" s="13"/>
      <c r="M94" s="13"/>
      <c r="N94" s="13"/>
      <c r="O94" s="13"/>
      <c r="P94" s="13"/>
      <c r="Q94" s="2"/>
      <c r="R94" s="2"/>
      <c r="S94" s="2"/>
      <c r="T94" s="2"/>
      <c r="U94" s="14"/>
      <c r="V94" s="2"/>
      <c r="W94" s="2"/>
      <c r="X94" s="2"/>
      <c r="Y94" s="2"/>
    </row>
    <row r="95" spans="1:25" x14ac:dyDescent="0.2">
      <c r="A95" s="13"/>
      <c r="B95" s="13"/>
      <c r="C95" s="13"/>
      <c r="D95" s="13"/>
      <c r="E95" s="13"/>
      <c r="F95" s="13"/>
      <c r="G95" s="13"/>
      <c r="H95" s="13"/>
      <c r="I95" s="13"/>
      <c r="J95" s="13"/>
      <c r="K95" s="13"/>
      <c r="L95" s="13"/>
      <c r="M95" s="13"/>
      <c r="N95" s="13"/>
      <c r="O95" s="13"/>
      <c r="P95" s="13"/>
      <c r="Q95" s="2"/>
      <c r="R95" s="2"/>
      <c r="S95" s="2"/>
      <c r="T95" s="2"/>
      <c r="U95" s="14"/>
      <c r="V95" s="2"/>
      <c r="W95" s="2"/>
      <c r="X95" s="2"/>
      <c r="Y95" s="2"/>
    </row>
    <row r="96" spans="1:25" x14ac:dyDescent="0.2">
      <c r="A96" s="13"/>
      <c r="B96" s="13"/>
      <c r="C96" s="13"/>
      <c r="D96" s="13"/>
      <c r="E96" s="13"/>
      <c r="F96" s="13"/>
      <c r="G96" s="13"/>
      <c r="H96" s="13"/>
      <c r="I96" s="13"/>
      <c r="J96" s="13"/>
      <c r="K96" s="13"/>
      <c r="L96" s="13"/>
      <c r="M96" s="13"/>
      <c r="N96" s="13"/>
      <c r="O96" s="13"/>
      <c r="P96" s="13"/>
      <c r="Q96" s="2"/>
      <c r="R96" s="2"/>
      <c r="S96" s="2"/>
      <c r="T96" s="2"/>
      <c r="U96" s="14"/>
      <c r="V96" s="2"/>
      <c r="W96" s="2"/>
      <c r="X96" s="2"/>
      <c r="Y96" s="2"/>
    </row>
    <row r="97" spans="1:25" x14ac:dyDescent="0.2">
      <c r="A97" s="13"/>
      <c r="B97" s="13"/>
      <c r="C97" s="13"/>
      <c r="D97" s="13"/>
      <c r="E97" s="13"/>
      <c r="F97" s="13"/>
      <c r="G97" s="13"/>
      <c r="H97" s="13"/>
      <c r="I97" s="13"/>
      <c r="J97" s="13"/>
      <c r="K97" s="13"/>
      <c r="L97" s="13"/>
      <c r="M97" s="13"/>
      <c r="N97" s="13"/>
      <c r="O97" s="13"/>
      <c r="P97" s="13"/>
      <c r="Q97" s="2"/>
      <c r="R97" s="2"/>
      <c r="S97" s="2"/>
      <c r="T97" s="2"/>
      <c r="U97" s="14"/>
      <c r="V97" s="2"/>
      <c r="W97" s="2"/>
      <c r="X97" s="2"/>
      <c r="Y97" s="2"/>
    </row>
    <row r="98" spans="1:25" x14ac:dyDescent="0.2">
      <c r="A98" s="13"/>
      <c r="B98" s="13"/>
      <c r="C98" s="13"/>
      <c r="D98" s="13"/>
      <c r="E98" s="13"/>
      <c r="F98" s="13"/>
      <c r="G98" s="13"/>
      <c r="H98" s="13"/>
      <c r="I98" s="13"/>
      <c r="J98" s="13"/>
      <c r="K98" s="13"/>
      <c r="L98" s="13"/>
      <c r="M98" s="13"/>
      <c r="N98" s="13"/>
      <c r="O98" s="13"/>
      <c r="P98" s="13"/>
      <c r="Q98" s="2"/>
      <c r="R98" s="2"/>
      <c r="S98" s="2"/>
      <c r="T98" s="2"/>
      <c r="U98" s="14"/>
      <c r="V98" s="2"/>
      <c r="W98" s="2"/>
      <c r="X98" s="2"/>
      <c r="Y98" s="2"/>
    </row>
    <row r="99" spans="1:25" x14ac:dyDescent="0.2">
      <c r="A99" s="13"/>
      <c r="B99" s="13"/>
      <c r="C99" s="13"/>
      <c r="D99" s="13"/>
      <c r="E99" s="13"/>
      <c r="F99" s="13"/>
      <c r="G99" s="13"/>
      <c r="H99" s="13"/>
      <c r="I99" s="13"/>
      <c r="J99" s="13"/>
      <c r="K99" s="13"/>
      <c r="L99" s="13"/>
      <c r="M99" s="13"/>
      <c r="N99" s="13"/>
      <c r="O99" s="13"/>
      <c r="P99" s="13"/>
      <c r="Q99" s="2"/>
      <c r="R99" s="2"/>
      <c r="S99" s="2"/>
      <c r="T99" s="2"/>
      <c r="U99" s="14"/>
      <c r="V99" s="2"/>
      <c r="W99" s="2"/>
      <c r="X99" s="2"/>
      <c r="Y99" s="2"/>
    </row>
    <row r="100" spans="1:25" x14ac:dyDescent="0.2">
      <c r="A100" s="13"/>
      <c r="B100" s="13"/>
      <c r="C100" s="13"/>
      <c r="D100" s="13"/>
      <c r="E100" s="13"/>
      <c r="F100" s="13"/>
      <c r="G100" s="13"/>
      <c r="H100" s="13"/>
      <c r="I100" s="13"/>
      <c r="J100" s="13"/>
      <c r="K100" s="13"/>
      <c r="L100" s="13"/>
      <c r="M100" s="13"/>
      <c r="N100" s="13"/>
      <c r="O100" s="13"/>
      <c r="P100" s="13"/>
      <c r="Q100" s="2"/>
      <c r="R100" s="2"/>
      <c r="S100" s="2"/>
      <c r="T100" s="2"/>
      <c r="U100" s="14"/>
      <c r="V100" s="2"/>
      <c r="W100" s="2"/>
      <c r="X100" s="2"/>
      <c r="Y100" s="2"/>
    </row>
    <row r="101" spans="1:25" x14ac:dyDescent="0.2">
      <c r="A101" s="13"/>
      <c r="B101" s="13"/>
      <c r="C101" s="13"/>
      <c r="D101" s="13"/>
      <c r="E101" s="13"/>
      <c r="F101" s="13"/>
      <c r="G101" s="13"/>
      <c r="H101" s="13"/>
      <c r="I101" s="13"/>
      <c r="J101" s="13"/>
      <c r="K101" s="13"/>
      <c r="L101" s="13"/>
      <c r="M101" s="13"/>
      <c r="N101" s="13"/>
      <c r="O101" s="13"/>
      <c r="P101" s="13"/>
      <c r="Q101" s="2"/>
      <c r="R101" s="2"/>
      <c r="S101" s="2"/>
      <c r="T101" s="2"/>
      <c r="U101" s="14"/>
      <c r="V101" s="2"/>
      <c r="W101" s="2"/>
      <c r="X101" s="2"/>
      <c r="Y101" s="2"/>
    </row>
    <row r="102" spans="1:25" x14ac:dyDescent="0.2">
      <c r="A102" s="13"/>
      <c r="B102" s="13"/>
      <c r="C102" s="13"/>
      <c r="D102" s="13"/>
      <c r="E102" s="13"/>
      <c r="F102" s="13"/>
      <c r="G102" s="13"/>
      <c r="H102" s="13"/>
      <c r="I102" s="13"/>
      <c r="J102" s="13"/>
      <c r="K102" s="13"/>
      <c r="L102" s="13"/>
      <c r="M102" s="13"/>
      <c r="N102" s="13"/>
      <c r="O102" s="13"/>
      <c r="P102" s="13"/>
      <c r="Q102" s="2"/>
      <c r="R102" s="2"/>
      <c r="S102" s="2"/>
      <c r="T102" s="2"/>
      <c r="U102" s="14"/>
      <c r="V102" s="2"/>
      <c r="W102" s="2"/>
      <c r="X102" s="2"/>
      <c r="Y102" s="2"/>
    </row>
    <row r="103" spans="1:25" x14ac:dyDescent="0.2">
      <c r="A103" s="13"/>
      <c r="B103" s="13"/>
      <c r="C103" s="13"/>
      <c r="D103" s="13"/>
      <c r="E103" s="13"/>
      <c r="F103" s="13"/>
      <c r="G103" s="13"/>
      <c r="H103" s="13"/>
      <c r="I103" s="13"/>
      <c r="J103" s="13"/>
      <c r="K103" s="13"/>
      <c r="L103" s="13"/>
      <c r="M103" s="13"/>
      <c r="N103" s="13"/>
      <c r="O103" s="13"/>
      <c r="P103" s="13"/>
      <c r="Q103" s="2"/>
      <c r="R103" s="2"/>
      <c r="S103" s="2"/>
      <c r="T103" s="2"/>
      <c r="U103" s="14"/>
      <c r="V103" s="2"/>
      <c r="W103" s="2"/>
      <c r="X103" s="2"/>
      <c r="Y103" s="2"/>
    </row>
    <row r="104" spans="1:25" x14ac:dyDescent="0.2">
      <c r="A104" s="13"/>
      <c r="B104" s="13"/>
      <c r="C104" s="13"/>
      <c r="D104" s="13"/>
      <c r="E104" s="13"/>
      <c r="F104" s="13"/>
      <c r="G104" s="13"/>
      <c r="H104" s="13"/>
      <c r="I104" s="13"/>
      <c r="J104" s="13"/>
      <c r="K104" s="13"/>
      <c r="L104" s="13"/>
      <c r="M104" s="13"/>
      <c r="N104" s="13"/>
      <c r="O104" s="13"/>
      <c r="P104" s="13"/>
      <c r="Q104" s="2"/>
      <c r="R104" s="2"/>
      <c r="S104" s="2"/>
      <c r="T104" s="2"/>
      <c r="U104" s="14"/>
      <c r="V104" s="2"/>
      <c r="W104" s="2"/>
      <c r="X104" s="2"/>
      <c r="Y104" s="2"/>
    </row>
    <row r="105" spans="1:25" x14ac:dyDescent="0.2">
      <c r="A105" s="13"/>
      <c r="B105" s="13"/>
      <c r="C105" s="13"/>
      <c r="D105" s="13"/>
      <c r="E105" s="13"/>
      <c r="F105" s="13"/>
      <c r="G105" s="13"/>
      <c r="H105" s="13"/>
      <c r="I105" s="13"/>
      <c r="J105" s="13"/>
      <c r="K105" s="13"/>
      <c r="L105" s="13"/>
      <c r="M105" s="13"/>
      <c r="N105" s="13"/>
      <c r="O105" s="13"/>
      <c r="P105" s="13"/>
      <c r="Q105" s="2"/>
      <c r="R105" s="2"/>
      <c r="S105" s="2"/>
      <c r="T105" s="2"/>
      <c r="U105" s="14"/>
      <c r="V105" s="2"/>
      <c r="W105" s="2"/>
      <c r="X105" s="2"/>
      <c r="Y105" s="2"/>
    </row>
    <row r="106" spans="1:25" x14ac:dyDescent="0.2">
      <c r="A106" s="13"/>
      <c r="B106" s="13"/>
      <c r="C106" s="13"/>
      <c r="D106" s="13"/>
      <c r="E106" s="13"/>
      <c r="F106" s="13"/>
      <c r="G106" s="13"/>
      <c r="H106" s="13"/>
      <c r="I106" s="13"/>
      <c r="J106" s="13"/>
      <c r="K106" s="13"/>
      <c r="L106" s="13"/>
      <c r="M106" s="13"/>
      <c r="N106" s="13"/>
      <c r="O106" s="13"/>
      <c r="P106" s="13"/>
      <c r="Q106" s="2"/>
      <c r="R106" s="2"/>
      <c r="S106" s="2"/>
      <c r="T106" s="2"/>
      <c r="U106" s="14"/>
      <c r="V106" s="2"/>
      <c r="W106" s="2"/>
      <c r="X106" s="2"/>
      <c r="Y106" s="2"/>
    </row>
    <row r="107" spans="1:25" x14ac:dyDescent="0.2">
      <c r="A107" s="13"/>
      <c r="B107" s="13"/>
      <c r="C107" s="13"/>
      <c r="D107" s="13"/>
      <c r="E107" s="13"/>
      <c r="F107" s="13"/>
      <c r="G107" s="13"/>
      <c r="H107" s="13"/>
      <c r="I107" s="13"/>
      <c r="J107" s="13"/>
      <c r="K107" s="13"/>
      <c r="L107" s="13"/>
      <c r="M107" s="13"/>
      <c r="N107" s="13"/>
      <c r="O107" s="13"/>
      <c r="P107" s="13"/>
      <c r="Q107" s="2"/>
      <c r="R107" s="2"/>
      <c r="S107" s="2"/>
      <c r="T107" s="2"/>
      <c r="U107" s="14"/>
      <c r="V107" s="2"/>
      <c r="W107" s="2"/>
      <c r="X107" s="2"/>
      <c r="Y107" s="2"/>
    </row>
    <row r="108" spans="1:25" x14ac:dyDescent="0.2">
      <c r="A108" s="13"/>
      <c r="B108" s="13"/>
      <c r="C108" s="13"/>
      <c r="D108" s="13"/>
      <c r="E108" s="13"/>
      <c r="F108" s="13"/>
      <c r="G108" s="13"/>
      <c r="H108" s="13"/>
      <c r="I108" s="13"/>
      <c r="J108" s="13"/>
      <c r="K108" s="13"/>
      <c r="L108" s="13"/>
      <c r="M108" s="13"/>
      <c r="N108" s="13"/>
      <c r="O108" s="13"/>
      <c r="P108" s="13"/>
      <c r="Q108" s="2"/>
      <c r="R108" s="2"/>
      <c r="S108" s="2"/>
      <c r="T108" s="2"/>
      <c r="U108" s="14"/>
      <c r="V108" s="2"/>
      <c r="W108" s="2"/>
      <c r="X108" s="2"/>
      <c r="Y108" s="2"/>
    </row>
    <row r="109" spans="1:25" x14ac:dyDescent="0.2">
      <c r="A109" s="13"/>
      <c r="B109" s="13"/>
      <c r="C109" s="13"/>
      <c r="D109" s="13"/>
      <c r="E109" s="13"/>
      <c r="F109" s="13"/>
      <c r="G109" s="13"/>
      <c r="H109" s="13"/>
      <c r="I109" s="13"/>
      <c r="J109" s="13"/>
      <c r="K109" s="13"/>
      <c r="L109" s="13"/>
      <c r="M109" s="13"/>
      <c r="N109" s="13"/>
      <c r="O109" s="13"/>
      <c r="P109" s="13"/>
      <c r="Q109" s="2"/>
      <c r="R109" s="2"/>
      <c r="S109" s="2"/>
      <c r="T109" s="2"/>
      <c r="U109" s="14"/>
      <c r="V109" s="2"/>
      <c r="W109" s="2"/>
      <c r="X109" s="2"/>
      <c r="Y109" s="2"/>
    </row>
    <row r="110" spans="1:25" x14ac:dyDescent="0.2">
      <c r="A110" s="13"/>
      <c r="B110" s="13"/>
      <c r="C110" s="13"/>
      <c r="D110" s="13"/>
      <c r="E110" s="13"/>
      <c r="F110" s="13"/>
      <c r="G110" s="13"/>
      <c r="H110" s="13"/>
      <c r="I110" s="13"/>
      <c r="J110" s="13"/>
      <c r="K110" s="13"/>
      <c r="L110" s="13"/>
      <c r="M110" s="13"/>
      <c r="N110" s="13"/>
      <c r="O110" s="13"/>
      <c r="P110" s="13"/>
      <c r="Q110" s="2"/>
      <c r="R110" s="2"/>
      <c r="S110" s="2"/>
      <c r="T110" s="2"/>
      <c r="U110" s="14"/>
      <c r="V110" s="2"/>
      <c r="W110" s="2"/>
      <c r="X110" s="2"/>
      <c r="Y110" s="2"/>
    </row>
    <row r="111" spans="1:25" x14ac:dyDescent="0.2">
      <c r="A111" s="13"/>
      <c r="B111" s="13"/>
      <c r="C111" s="13"/>
      <c r="D111" s="13"/>
      <c r="E111" s="13"/>
      <c r="F111" s="13"/>
      <c r="G111" s="13"/>
      <c r="H111" s="13"/>
      <c r="I111" s="13"/>
      <c r="J111" s="13"/>
      <c r="K111" s="13"/>
      <c r="L111" s="13"/>
      <c r="M111" s="13"/>
      <c r="N111" s="13"/>
      <c r="O111" s="13"/>
      <c r="P111" s="13"/>
      <c r="Q111" s="2"/>
      <c r="R111" s="2"/>
      <c r="S111" s="2"/>
      <c r="T111" s="2"/>
      <c r="U111" s="14"/>
      <c r="V111" s="2"/>
      <c r="W111" s="2"/>
      <c r="X111" s="2"/>
      <c r="Y111" s="2"/>
    </row>
    <row r="112" spans="1:25" x14ac:dyDescent="0.2">
      <c r="A112" s="13"/>
      <c r="B112" s="13"/>
      <c r="C112" s="13"/>
      <c r="D112" s="13"/>
      <c r="E112" s="13"/>
      <c r="F112" s="13"/>
      <c r="G112" s="13"/>
      <c r="H112" s="13"/>
      <c r="I112" s="13"/>
      <c r="J112" s="13"/>
      <c r="K112" s="13"/>
      <c r="L112" s="13"/>
      <c r="M112" s="13"/>
      <c r="N112" s="13"/>
      <c r="O112" s="13"/>
      <c r="P112" s="13"/>
      <c r="Q112" s="2"/>
      <c r="R112" s="2"/>
      <c r="S112" s="2"/>
      <c r="T112" s="2"/>
      <c r="U112" s="14"/>
      <c r="V112" s="2"/>
      <c r="W112" s="2"/>
      <c r="X112" s="2"/>
      <c r="Y112" s="2"/>
    </row>
    <row r="113" spans="1:25" x14ac:dyDescent="0.2">
      <c r="A113" s="13"/>
      <c r="B113" s="13"/>
      <c r="C113" s="13"/>
      <c r="D113" s="13"/>
      <c r="E113" s="13"/>
      <c r="F113" s="13"/>
      <c r="G113" s="13"/>
      <c r="H113" s="13"/>
      <c r="I113" s="13"/>
      <c r="J113" s="13"/>
      <c r="K113" s="13"/>
      <c r="L113" s="13"/>
      <c r="M113" s="13"/>
      <c r="N113" s="13"/>
      <c r="O113" s="13"/>
      <c r="P113" s="13"/>
      <c r="Q113" s="2"/>
      <c r="R113" s="2"/>
      <c r="S113" s="2"/>
      <c r="T113" s="2"/>
      <c r="U113" s="14"/>
      <c r="V113" s="2"/>
      <c r="W113" s="2"/>
      <c r="X113" s="2"/>
      <c r="Y113" s="2"/>
    </row>
    <row r="114" spans="1:25" x14ac:dyDescent="0.2">
      <c r="A114" s="13"/>
      <c r="B114" s="13"/>
      <c r="C114" s="13"/>
      <c r="D114" s="13"/>
      <c r="E114" s="13"/>
      <c r="F114" s="13"/>
      <c r="G114" s="13"/>
      <c r="H114" s="13"/>
      <c r="I114" s="13"/>
      <c r="J114" s="13"/>
      <c r="K114" s="13"/>
      <c r="L114" s="13"/>
      <c r="M114" s="13"/>
      <c r="N114" s="13"/>
      <c r="O114" s="13"/>
      <c r="P114" s="13"/>
      <c r="Q114" s="2"/>
      <c r="R114" s="2"/>
      <c r="S114" s="2"/>
      <c r="T114" s="2"/>
      <c r="U114" s="14"/>
      <c r="V114" s="2"/>
      <c r="W114" s="2"/>
      <c r="X114" s="2"/>
      <c r="Y114" s="2"/>
    </row>
    <row r="115" spans="1:25" x14ac:dyDescent="0.2">
      <c r="A115" s="13"/>
      <c r="B115" s="13"/>
      <c r="C115" s="13"/>
      <c r="D115" s="13"/>
      <c r="E115" s="13"/>
      <c r="F115" s="13"/>
      <c r="G115" s="13"/>
      <c r="H115" s="13"/>
      <c r="I115" s="13"/>
      <c r="J115" s="13"/>
      <c r="K115" s="13"/>
      <c r="L115" s="13"/>
      <c r="M115" s="13"/>
      <c r="N115" s="13"/>
      <c r="O115" s="13"/>
      <c r="P115" s="13"/>
      <c r="Q115" s="2"/>
      <c r="R115" s="2"/>
      <c r="S115" s="2"/>
      <c r="T115" s="2"/>
      <c r="U115" s="14"/>
      <c r="V115" s="2"/>
      <c r="W115" s="2"/>
      <c r="X115" s="2"/>
      <c r="Y115" s="2"/>
    </row>
    <row r="116" spans="1:25" x14ac:dyDescent="0.2">
      <c r="A116" s="13"/>
      <c r="B116" s="13"/>
      <c r="C116" s="13"/>
      <c r="D116" s="13"/>
      <c r="E116" s="13"/>
      <c r="F116" s="13"/>
      <c r="G116" s="13"/>
      <c r="H116" s="13"/>
      <c r="I116" s="13"/>
      <c r="J116" s="13"/>
      <c r="K116" s="13"/>
      <c r="L116" s="13"/>
      <c r="M116" s="13"/>
      <c r="N116" s="13"/>
      <c r="O116" s="13"/>
      <c r="P116" s="13"/>
      <c r="Q116" s="2"/>
      <c r="R116" s="2"/>
      <c r="S116" s="2"/>
      <c r="T116" s="2"/>
      <c r="U116" s="14"/>
      <c r="V116" s="2"/>
      <c r="W116" s="2"/>
      <c r="X116" s="2"/>
      <c r="Y116" s="2"/>
    </row>
    <row r="117" spans="1:25" x14ac:dyDescent="0.2">
      <c r="A117" s="13"/>
      <c r="B117" s="13"/>
      <c r="C117" s="13"/>
      <c r="D117" s="13"/>
      <c r="E117" s="13"/>
      <c r="F117" s="13"/>
      <c r="G117" s="13"/>
      <c r="H117" s="13"/>
      <c r="I117" s="13"/>
      <c r="J117" s="13"/>
      <c r="K117" s="13"/>
      <c r="L117" s="13"/>
      <c r="M117" s="13"/>
      <c r="N117" s="13"/>
      <c r="O117" s="13"/>
      <c r="P117" s="13"/>
      <c r="Q117" s="2"/>
      <c r="R117" s="2"/>
      <c r="S117" s="2"/>
      <c r="T117" s="2"/>
      <c r="U117" s="14"/>
      <c r="V117" s="2"/>
      <c r="W117" s="2"/>
      <c r="X117" s="2"/>
      <c r="Y117" s="2"/>
    </row>
    <row r="118" spans="1:25" x14ac:dyDescent="0.2">
      <c r="A118" s="13"/>
      <c r="B118" s="13"/>
      <c r="C118" s="13"/>
      <c r="D118" s="13"/>
      <c r="E118" s="13"/>
      <c r="F118" s="13"/>
      <c r="G118" s="13"/>
      <c r="H118" s="13"/>
      <c r="I118" s="13"/>
      <c r="J118" s="13"/>
      <c r="K118" s="13"/>
      <c r="L118" s="13"/>
      <c r="M118" s="13"/>
      <c r="N118" s="13"/>
      <c r="O118" s="13"/>
      <c r="P118" s="13"/>
      <c r="Q118" s="2"/>
      <c r="R118" s="2"/>
      <c r="S118" s="2"/>
      <c r="T118" s="2"/>
      <c r="U118" s="14"/>
      <c r="V118" s="2"/>
      <c r="W118" s="2"/>
      <c r="X118" s="2"/>
      <c r="Y118" s="2"/>
    </row>
    <row r="119" spans="1:25" x14ac:dyDescent="0.2">
      <c r="A119" s="13"/>
      <c r="B119" s="13"/>
      <c r="C119" s="13"/>
      <c r="D119" s="13"/>
      <c r="E119" s="13"/>
      <c r="F119" s="13"/>
      <c r="G119" s="13"/>
      <c r="H119" s="13"/>
      <c r="I119" s="13"/>
      <c r="J119" s="13"/>
      <c r="K119" s="13"/>
      <c r="L119" s="13"/>
      <c r="M119" s="13"/>
      <c r="N119" s="13"/>
      <c r="O119" s="13"/>
      <c r="P119" s="13"/>
      <c r="Q119" s="2"/>
      <c r="R119" s="2"/>
      <c r="S119" s="2"/>
      <c r="T119" s="2"/>
      <c r="U119" s="14"/>
      <c r="V119" s="2"/>
      <c r="W119" s="2"/>
      <c r="X119" s="2"/>
      <c r="Y119" s="2"/>
    </row>
    <row r="120" spans="1:25" x14ac:dyDescent="0.2">
      <c r="A120" s="13"/>
      <c r="B120" s="13"/>
      <c r="C120" s="13"/>
      <c r="D120" s="13"/>
      <c r="E120" s="13"/>
      <c r="F120" s="13"/>
      <c r="G120" s="13"/>
      <c r="H120" s="13"/>
      <c r="I120" s="13"/>
      <c r="J120" s="13"/>
      <c r="K120" s="13"/>
      <c r="L120" s="13"/>
      <c r="M120" s="13"/>
      <c r="N120" s="13"/>
      <c r="O120" s="13"/>
      <c r="P120" s="13"/>
      <c r="Q120" s="2"/>
      <c r="R120" s="2"/>
      <c r="S120" s="2"/>
      <c r="T120" s="2"/>
      <c r="U120" s="14"/>
      <c r="V120" s="2"/>
      <c r="W120" s="2"/>
      <c r="X120" s="2"/>
      <c r="Y120" s="2"/>
    </row>
    <row r="121" spans="1:25" x14ac:dyDescent="0.2">
      <c r="A121" s="13"/>
      <c r="B121" s="13"/>
      <c r="C121" s="13"/>
      <c r="D121" s="13"/>
      <c r="E121" s="13"/>
      <c r="F121" s="13"/>
      <c r="G121" s="13"/>
      <c r="H121" s="13"/>
      <c r="I121" s="13"/>
      <c r="J121" s="13"/>
      <c r="K121" s="13"/>
      <c r="L121" s="13"/>
      <c r="M121" s="13"/>
      <c r="N121" s="13"/>
      <c r="O121" s="13"/>
      <c r="P121" s="13"/>
      <c r="Q121" s="2"/>
      <c r="R121" s="2"/>
      <c r="S121" s="2"/>
      <c r="T121" s="2"/>
      <c r="U121" s="14"/>
      <c r="V121" s="2"/>
      <c r="W121" s="2"/>
      <c r="X121" s="2"/>
      <c r="Y121" s="2"/>
    </row>
    <row r="122" spans="1:25" x14ac:dyDescent="0.2">
      <c r="A122" s="13"/>
      <c r="B122" s="13"/>
      <c r="C122" s="13"/>
      <c r="D122" s="13"/>
      <c r="E122" s="13"/>
      <c r="F122" s="13"/>
      <c r="G122" s="13"/>
      <c r="H122" s="13"/>
      <c r="I122" s="13"/>
      <c r="J122" s="13"/>
      <c r="K122" s="13"/>
      <c r="L122" s="13"/>
      <c r="M122" s="13"/>
      <c r="N122" s="13"/>
      <c r="O122" s="13"/>
      <c r="P122" s="13"/>
      <c r="Q122" s="2"/>
      <c r="R122" s="2"/>
      <c r="S122" s="2"/>
      <c r="T122" s="2"/>
      <c r="U122" s="14"/>
      <c r="V122" s="2"/>
      <c r="W122" s="2"/>
      <c r="X122" s="2"/>
      <c r="Y122" s="2"/>
    </row>
    <row r="123" spans="1:25" x14ac:dyDescent="0.2">
      <c r="A123" s="13"/>
      <c r="B123" s="13"/>
      <c r="C123" s="13"/>
      <c r="D123" s="13"/>
      <c r="E123" s="13"/>
      <c r="F123" s="13"/>
      <c r="G123" s="13"/>
      <c r="H123" s="13"/>
      <c r="I123" s="13"/>
      <c r="J123" s="13"/>
      <c r="K123" s="13"/>
      <c r="L123" s="13"/>
      <c r="M123" s="13"/>
      <c r="N123" s="13"/>
      <c r="O123" s="13"/>
      <c r="P123" s="13"/>
      <c r="Q123" s="2"/>
      <c r="R123" s="2"/>
      <c r="S123" s="2"/>
      <c r="T123" s="2"/>
      <c r="U123" s="14"/>
      <c r="V123" s="2"/>
      <c r="W123" s="2"/>
      <c r="X123" s="2"/>
      <c r="Y123" s="2"/>
    </row>
    <row r="124" spans="1:25" x14ac:dyDescent="0.2">
      <c r="A124" s="13"/>
      <c r="B124" s="13"/>
      <c r="C124" s="13"/>
      <c r="D124" s="13"/>
      <c r="E124" s="13"/>
      <c r="F124" s="13"/>
      <c r="G124" s="13"/>
      <c r="H124" s="13"/>
      <c r="I124" s="13"/>
      <c r="J124" s="13"/>
      <c r="K124" s="13"/>
      <c r="L124" s="13"/>
      <c r="M124" s="13"/>
      <c r="N124" s="13"/>
      <c r="O124" s="13"/>
      <c r="P124" s="13"/>
      <c r="Q124" s="2"/>
      <c r="R124" s="2"/>
      <c r="S124" s="2"/>
      <c r="T124" s="2"/>
      <c r="U124" s="14"/>
      <c r="V124" s="2"/>
      <c r="W124" s="2"/>
      <c r="X124" s="2"/>
      <c r="Y124" s="2"/>
    </row>
    <row r="125" spans="1:25" x14ac:dyDescent="0.2">
      <c r="A125" s="13"/>
      <c r="B125" s="13"/>
      <c r="C125" s="13"/>
      <c r="D125" s="13"/>
      <c r="E125" s="13"/>
      <c r="F125" s="13"/>
      <c r="G125" s="13"/>
      <c r="H125" s="13"/>
      <c r="I125" s="13"/>
      <c r="J125" s="13"/>
      <c r="K125" s="13"/>
      <c r="L125" s="13"/>
      <c r="M125" s="13"/>
      <c r="N125" s="13"/>
      <c r="O125" s="13"/>
      <c r="P125" s="13"/>
      <c r="Q125" s="2"/>
      <c r="R125" s="2"/>
      <c r="S125" s="2"/>
      <c r="T125" s="2"/>
      <c r="U125" s="14"/>
      <c r="V125" s="2"/>
      <c r="W125" s="2"/>
      <c r="X125" s="2"/>
      <c r="Y125" s="2"/>
    </row>
    <row r="126" spans="1:25" x14ac:dyDescent="0.2">
      <c r="A126" s="13"/>
      <c r="B126" s="13"/>
      <c r="C126" s="13"/>
      <c r="D126" s="13"/>
      <c r="E126" s="13"/>
      <c r="F126" s="13"/>
      <c r="G126" s="13"/>
      <c r="H126" s="13"/>
      <c r="I126" s="13"/>
      <c r="J126" s="13"/>
      <c r="K126" s="13"/>
      <c r="L126" s="13"/>
      <c r="M126" s="13"/>
      <c r="N126" s="13"/>
      <c r="O126" s="13"/>
      <c r="P126" s="13"/>
      <c r="Q126" s="2"/>
      <c r="R126" s="2"/>
      <c r="S126" s="2"/>
      <c r="T126" s="2"/>
      <c r="U126" s="14"/>
      <c r="V126" s="2"/>
      <c r="W126" s="2"/>
      <c r="X126" s="2"/>
      <c r="Y126" s="2"/>
    </row>
    <row r="127" spans="1:25" x14ac:dyDescent="0.2">
      <c r="A127" s="13"/>
      <c r="B127" s="13"/>
      <c r="C127" s="13"/>
      <c r="D127" s="13"/>
      <c r="E127" s="13"/>
      <c r="F127" s="13"/>
      <c r="G127" s="13"/>
      <c r="H127" s="13"/>
      <c r="I127" s="13"/>
      <c r="J127" s="13"/>
      <c r="K127" s="13"/>
      <c r="L127" s="13"/>
      <c r="M127" s="13"/>
      <c r="N127" s="13"/>
      <c r="O127" s="13"/>
      <c r="P127" s="13"/>
      <c r="Q127" s="2"/>
      <c r="R127" s="2"/>
      <c r="S127" s="2"/>
      <c r="T127" s="2"/>
      <c r="U127" s="14"/>
      <c r="V127" s="2"/>
      <c r="W127" s="2"/>
      <c r="X127" s="2"/>
      <c r="Y127" s="2"/>
    </row>
    <row r="128" spans="1:25" x14ac:dyDescent="0.2">
      <c r="A128" s="13"/>
      <c r="B128" s="13"/>
      <c r="C128" s="13"/>
      <c r="D128" s="13"/>
      <c r="E128" s="13"/>
      <c r="F128" s="13"/>
      <c r="G128" s="13"/>
      <c r="H128" s="13"/>
      <c r="I128" s="13"/>
      <c r="J128" s="13"/>
      <c r="K128" s="13"/>
      <c r="L128" s="13"/>
      <c r="M128" s="13"/>
      <c r="N128" s="13"/>
      <c r="O128" s="13"/>
      <c r="P128" s="13"/>
      <c r="Q128" s="2"/>
      <c r="R128" s="2"/>
      <c r="S128" s="2"/>
      <c r="T128" s="2"/>
      <c r="U128" s="14"/>
      <c r="V128" s="2"/>
      <c r="W128" s="2"/>
      <c r="X128" s="2"/>
      <c r="Y128" s="2"/>
    </row>
    <row r="129" spans="1:25" x14ac:dyDescent="0.2">
      <c r="A129" s="13"/>
      <c r="B129" s="13"/>
      <c r="C129" s="13"/>
      <c r="D129" s="13"/>
      <c r="E129" s="13"/>
      <c r="F129" s="13"/>
      <c r="G129" s="13"/>
      <c r="H129" s="13"/>
      <c r="I129" s="13"/>
      <c r="J129" s="13"/>
      <c r="K129" s="13"/>
      <c r="L129" s="13"/>
      <c r="M129" s="13"/>
      <c r="N129" s="13"/>
      <c r="O129" s="13"/>
      <c r="P129" s="13"/>
      <c r="Q129" s="2"/>
      <c r="R129" s="2"/>
      <c r="S129" s="2"/>
      <c r="T129" s="2"/>
      <c r="U129" s="14"/>
      <c r="V129" s="2"/>
      <c r="W129" s="2"/>
      <c r="X129" s="2"/>
      <c r="Y129" s="2"/>
    </row>
    <row r="130" spans="1:25" x14ac:dyDescent="0.2">
      <c r="A130" s="13"/>
      <c r="B130" s="13"/>
      <c r="C130" s="13"/>
      <c r="D130" s="13"/>
      <c r="E130" s="13"/>
      <c r="F130" s="13"/>
      <c r="G130" s="13"/>
      <c r="H130" s="13"/>
      <c r="I130" s="13"/>
      <c r="J130" s="13"/>
      <c r="K130" s="13"/>
      <c r="L130" s="13"/>
      <c r="M130" s="13"/>
      <c r="N130" s="13"/>
      <c r="O130" s="13"/>
      <c r="P130" s="13"/>
      <c r="Q130" s="2"/>
      <c r="R130" s="2"/>
      <c r="S130" s="2"/>
      <c r="T130" s="2"/>
      <c r="U130" s="14"/>
      <c r="V130" s="2"/>
      <c r="W130" s="2"/>
      <c r="X130" s="2"/>
      <c r="Y130" s="2"/>
    </row>
    <row r="131" spans="1:25" x14ac:dyDescent="0.2">
      <c r="A131" s="13"/>
      <c r="B131" s="13"/>
      <c r="C131" s="13"/>
      <c r="D131" s="13"/>
      <c r="E131" s="13"/>
      <c r="F131" s="13"/>
      <c r="G131" s="13"/>
      <c r="H131" s="13"/>
      <c r="I131" s="13"/>
      <c r="J131" s="13"/>
      <c r="K131" s="13"/>
      <c r="L131" s="13"/>
      <c r="M131" s="13"/>
      <c r="N131" s="13"/>
      <c r="O131" s="13"/>
      <c r="P131" s="13"/>
      <c r="Q131" s="2"/>
      <c r="R131" s="2"/>
      <c r="S131" s="2"/>
      <c r="T131" s="2"/>
      <c r="U131" s="14"/>
      <c r="V131" s="2"/>
      <c r="W131" s="2"/>
      <c r="X131" s="2"/>
      <c r="Y131" s="2"/>
    </row>
    <row r="132" spans="1:25" x14ac:dyDescent="0.2">
      <c r="A132" s="13"/>
      <c r="B132" s="13"/>
      <c r="C132" s="13"/>
      <c r="D132" s="13"/>
      <c r="E132" s="13"/>
      <c r="F132" s="13"/>
      <c r="G132" s="13"/>
      <c r="H132" s="13"/>
      <c r="I132" s="13"/>
      <c r="J132" s="13"/>
      <c r="K132" s="13"/>
      <c r="L132" s="13"/>
      <c r="M132" s="13"/>
      <c r="N132" s="13"/>
      <c r="O132" s="13"/>
      <c r="P132" s="13"/>
      <c r="Q132" s="2"/>
      <c r="R132" s="2"/>
      <c r="S132" s="2"/>
      <c r="T132" s="2"/>
      <c r="U132" s="14"/>
      <c r="V132" s="2"/>
      <c r="W132" s="2"/>
      <c r="X132" s="2"/>
      <c r="Y132" s="2"/>
    </row>
    <row r="133" spans="1:25" x14ac:dyDescent="0.2">
      <c r="A133" s="13"/>
      <c r="B133" s="13"/>
      <c r="C133" s="13"/>
      <c r="D133" s="13"/>
      <c r="E133" s="13"/>
      <c r="F133" s="13"/>
      <c r="G133" s="13"/>
      <c r="H133" s="13"/>
      <c r="I133" s="13"/>
      <c r="J133" s="13"/>
      <c r="K133" s="13"/>
      <c r="L133" s="13"/>
      <c r="M133" s="13"/>
      <c r="N133" s="13"/>
      <c r="O133" s="13"/>
      <c r="P133" s="13"/>
      <c r="Q133" s="2"/>
      <c r="R133" s="2"/>
      <c r="S133" s="2"/>
      <c r="T133" s="2"/>
      <c r="U133" s="14"/>
      <c r="V133" s="2"/>
      <c r="W133" s="2"/>
      <c r="X133" s="2"/>
      <c r="Y133" s="2"/>
    </row>
    <row r="134" spans="1:25" x14ac:dyDescent="0.2">
      <c r="A134" s="13"/>
      <c r="B134" s="13"/>
      <c r="C134" s="13"/>
      <c r="D134" s="13"/>
      <c r="E134" s="13"/>
      <c r="F134" s="13"/>
      <c r="G134" s="13"/>
      <c r="H134" s="13"/>
      <c r="I134" s="13"/>
      <c r="J134" s="13"/>
      <c r="K134" s="13"/>
      <c r="L134" s="13"/>
      <c r="M134" s="13"/>
      <c r="N134" s="13"/>
      <c r="O134" s="13"/>
      <c r="P134" s="13"/>
      <c r="Q134" s="2"/>
      <c r="R134" s="2"/>
      <c r="S134" s="2"/>
      <c r="T134" s="2"/>
      <c r="U134" s="14"/>
      <c r="V134" s="2"/>
      <c r="W134" s="2"/>
      <c r="X134" s="2"/>
      <c r="Y134" s="2"/>
    </row>
    <row r="135" spans="1:25" x14ac:dyDescent="0.2">
      <c r="A135" s="13"/>
      <c r="B135" s="13"/>
      <c r="C135" s="13"/>
      <c r="D135" s="13"/>
      <c r="E135" s="13"/>
      <c r="F135" s="13"/>
      <c r="G135" s="13"/>
      <c r="H135" s="13"/>
      <c r="I135" s="13"/>
      <c r="J135" s="13"/>
      <c r="K135" s="13"/>
      <c r="L135" s="13"/>
      <c r="M135" s="13"/>
      <c r="N135" s="13"/>
      <c r="O135" s="13"/>
      <c r="P135" s="13"/>
      <c r="Q135" s="2"/>
      <c r="R135" s="2"/>
      <c r="S135" s="2"/>
      <c r="T135" s="2"/>
      <c r="U135" s="14"/>
      <c r="V135" s="2"/>
      <c r="W135" s="2"/>
      <c r="X135" s="2"/>
      <c r="Y135" s="2"/>
    </row>
    <row r="136" spans="1:25" x14ac:dyDescent="0.2">
      <c r="A136" s="13"/>
      <c r="B136" s="13"/>
      <c r="C136" s="13"/>
      <c r="D136" s="13"/>
      <c r="E136" s="13"/>
      <c r="F136" s="13"/>
      <c r="G136" s="13"/>
      <c r="H136" s="13"/>
      <c r="I136" s="13"/>
      <c r="J136" s="13"/>
      <c r="K136" s="13"/>
      <c r="L136" s="13"/>
      <c r="M136" s="13"/>
      <c r="N136" s="13"/>
      <c r="O136" s="13"/>
      <c r="P136" s="13"/>
      <c r="Q136" s="2"/>
      <c r="R136" s="2"/>
      <c r="S136" s="2"/>
      <c r="T136" s="2"/>
      <c r="U136" s="14"/>
      <c r="V136" s="2"/>
      <c r="W136" s="2"/>
      <c r="X136" s="2"/>
      <c r="Y136" s="2"/>
    </row>
    <row r="137" spans="1:25" x14ac:dyDescent="0.2">
      <c r="A137" s="13"/>
      <c r="B137" s="13"/>
      <c r="C137" s="13"/>
      <c r="D137" s="13"/>
      <c r="E137" s="13"/>
      <c r="F137" s="13"/>
      <c r="G137" s="13"/>
      <c r="H137" s="13"/>
      <c r="I137" s="13"/>
      <c r="J137" s="13"/>
      <c r="K137" s="13"/>
      <c r="L137" s="13"/>
      <c r="M137" s="13"/>
      <c r="N137" s="13"/>
      <c r="O137" s="13"/>
      <c r="P137" s="13"/>
      <c r="Q137" s="2"/>
      <c r="R137" s="2"/>
      <c r="S137" s="2"/>
      <c r="T137" s="2"/>
      <c r="U137" s="14"/>
      <c r="V137" s="2"/>
      <c r="W137" s="2"/>
      <c r="X137" s="2"/>
      <c r="Y137" s="2"/>
    </row>
    <row r="138" spans="1:25" x14ac:dyDescent="0.2">
      <c r="A138" s="13"/>
      <c r="B138" s="13"/>
      <c r="C138" s="13"/>
      <c r="D138" s="13"/>
      <c r="E138" s="13"/>
      <c r="F138" s="13"/>
      <c r="G138" s="13"/>
      <c r="H138" s="13"/>
      <c r="I138" s="13"/>
      <c r="J138" s="13"/>
      <c r="K138" s="13"/>
      <c r="L138" s="13"/>
      <c r="M138" s="13"/>
      <c r="N138" s="13"/>
      <c r="O138" s="13"/>
      <c r="P138" s="13"/>
      <c r="Q138" s="2"/>
      <c r="R138" s="2"/>
      <c r="S138" s="2"/>
      <c r="T138" s="2"/>
      <c r="U138" s="14"/>
      <c r="V138" s="2"/>
      <c r="W138" s="2"/>
      <c r="X138" s="2"/>
      <c r="Y138" s="2"/>
    </row>
    <row r="139" spans="1:25" x14ac:dyDescent="0.2">
      <c r="A139" s="13"/>
      <c r="B139" s="13"/>
      <c r="C139" s="13"/>
      <c r="D139" s="13"/>
      <c r="E139" s="13"/>
      <c r="F139" s="13"/>
      <c r="G139" s="13"/>
      <c r="H139" s="13"/>
      <c r="I139" s="13"/>
      <c r="J139" s="13"/>
      <c r="K139" s="13"/>
      <c r="L139" s="13"/>
      <c r="M139" s="13"/>
      <c r="N139" s="13"/>
      <c r="O139" s="13"/>
      <c r="P139" s="13"/>
      <c r="Q139" s="2"/>
      <c r="R139" s="2"/>
      <c r="S139" s="2"/>
      <c r="T139" s="2"/>
      <c r="U139" s="14"/>
      <c r="V139" s="2"/>
      <c r="W139" s="2"/>
      <c r="X139" s="2"/>
      <c r="Y139" s="2"/>
    </row>
    <row r="140" spans="1:25" x14ac:dyDescent="0.2">
      <c r="A140" s="13"/>
      <c r="B140" s="13"/>
      <c r="C140" s="13"/>
      <c r="D140" s="13"/>
      <c r="E140" s="13"/>
      <c r="F140" s="13"/>
      <c r="G140" s="13"/>
      <c r="H140" s="13"/>
      <c r="I140" s="13"/>
      <c r="J140" s="13"/>
      <c r="K140" s="13"/>
      <c r="L140" s="13"/>
      <c r="M140" s="13"/>
      <c r="N140" s="13"/>
      <c r="O140" s="13"/>
      <c r="P140" s="13"/>
      <c r="Q140" s="2"/>
      <c r="R140" s="2"/>
      <c r="S140" s="2"/>
      <c r="T140" s="2"/>
      <c r="U140" s="14"/>
      <c r="V140" s="2"/>
      <c r="W140" s="2"/>
      <c r="X140" s="2"/>
      <c r="Y140" s="2"/>
    </row>
    <row r="141" spans="1:25" x14ac:dyDescent="0.2">
      <c r="A141" s="13"/>
      <c r="B141" s="13"/>
      <c r="C141" s="13"/>
      <c r="D141" s="13"/>
      <c r="E141" s="13"/>
      <c r="F141" s="13"/>
      <c r="G141" s="13"/>
      <c r="H141" s="13"/>
      <c r="I141" s="13"/>
      <c r="J141" s="13"/>
      <c r="K141" s="13"/>
      <c r="L141" s="13"/>
      <c r="M141" s="13"/>
      <c r="N141" s="13"/>
      <c r="O141" s="13"/>
      <c r="P141" s="13"/>
      <c r="Q141" s="2"/>
      <c r="R141" s="2"/>
      <c r="S141" s="2"/>
      <c r="T141" s="2"/>
      <c r="U141" s="14"/>
      <c r="V141" s="2"/>
      <c r="W141" s="2"/>
      <c r="X141" s="2"/>
      <c r="Y141" s="2"/>
    </row>
    <row r="142" spans="1:25" x14ac:dyDescent="0.2">
      <c r="A142" s="13"/>
      <c r="B142" s="13"/>
      <c r="C142" s="13"/>
      <c r="D142" s="13"/>
      <c r="E142" s="13"/>
      <c r="F142" s="13"/>
      <c r="G142" s="13"/>
      <c r="H142" s="13"/>
      <c r="I142" s="13"/>
      <c r="J142" s="13"/>
      <c r="K142" s="13"/>
      <c r="L142" s="13"/>
      <c r="M142" s="13"/>
      <c r="N142" s="13"/>
      <c r="O142" s="13"/>
      <c r="P142" s="13"/>
      <c r="Q142" s="2"/>
      <c r="R142" s="2"/>
      <c r="S142" s="2"/>
      <c r="T142" s="2"/>
      <c r="U142" s="14"/>
      <c r="V142" s="2"/>
      <c r="W142" s="2"/>
      <c r="X142" s="2"/>
      <c r="Y142" s="2"/>
    </row>
    <row r="143" spans="1:25" x14ac:dyDescent="0.2">
      <c r="A143" s="13"/>
      <c r="B143" s="13"/>
      <c r="C143" s="13"/>
      <c r="D143" s="13"/>
      <c r="E143" s="13"/>
      <c r="F143" s="13"/>
      <c r="G143" s="13"/>
      <c r="H143" s="13"/>
      <c r="I143" s="13"/>
      <c r="J143" s="13"/>
      <c r="K143" s="13"/>
      <c r="L143" s="13"/>
      <c r="M143" s="13"/>
      <c r="N143" s="13"/>
      <c r="O143" s="13"/>
      <c r="P143" s="13"/>
      <c r="Q143" s="2"/>
      <c r="R143" s="2"/>
      <c r="S143" s="2"/>
      <c r="T143" s="2"/>
      <c r="U143" s="14"/>
      <c r="V143" s="2"/>
      <c r="W143" s="2"/>
      <c r="X143" s="2"/>
      <c r="Y143" s="2"/>
    </row>
    <row r="144" spans="1:25" x14ac:dyDescent="0.2">
      <c r="A144" s="13"/>
      <c r="B144" s="13"/>
      <c r="C144" s="13"/>
      <c r="D144" s="13"/>
      <c r="E144" s="13"/>
      <c r="F144" s="13"/>
      <c r="G144" s="13"/>
      <c r="H144" s="13"/>
      <c r="I144" s="13"/>
      <c r="J144" s="13"/>
      <c r="K144" s="13"/>
      <c r="L144" s="13"/>
      <c r="M144" s="13"/>
      <c r="N144" s="13"/>
      <c r="O144" s="13"/>
      <c r="P144" s="13"/>
      <c r="Q144" s="2"/>
      <c r="R144" s="2"/>
      <c r="S144" s="2"/>
      <c r="T144" s="2"/>
      <c r="U144" s="14"/>
      <c r="V144" s="2"/>
      <c r="W144" s="2"/>
      <c r="X144" s="2"/>
      <c r="Y144" s="2"/>
    </row>
    <row r="145" spans="1:25" x14ac:dyDescent="0.2">
      <c r="A145" s="13"/>
      <c r="B145" s="13"/>
      <c r="C145" s="13"/>
      <c r="D145" s="13"/>
      <c r="E145" s="13"/>
      <c r="F145" s="13"/>
      <c r="G145" s="13"/>
      <c r="H145" s="13"/>
      <c r="I145" s="13"/>
      <c r="J145" s="13"/>
      <c r="K145" s="13"/>
      <c r="L145" s="13"/>
      <c r="M145" s="13"/>
      <c r="N145" s="13"/>
      <c r="O145" s="13"/>
      <c r="P145" s="13"/>
      <c r="Q145" s="2"/>
      <c r="R145" s="2"/>
      <c r="S145" s="2"/>
      <c r="T145" s="2"/>
      <c r="U145" s="14"/>
      <c r="V145" s="2"/>
      <c r="W145" s="2"/>
      <c r="X145" s="2"/>
      <c r="Y145" s="2"/>
    </row>
    <row r="146" spans="1:25" x14ac:dyDescent="0.2">
      <c r="A146" s="13"/>
      <c r="B146" s="13"/>
      <c r="C146" s="13"/>
      <c r="D146" s="13"/>
      <c r="E146" s="13"/>
      <c r="F146" s="13"/>
      <c r="G146" s="13"/>
      <c r="H146" s="13"/>
      <c r="I146" s="13"/>
      <c r="J146" s="13"/>
      <c r="K146" s="13"/>
      <c r="L146" s="13"/>
      <c r="M146" s="13"/>
      <c r="N146" s="13"/>
      <c r="O146" s="13"/>
      <c r="P146" s="13"/>
      <c r="Q146" s="2"/>
      <c r="R146" s="2"/>
      <c r="S146" s="2"/>
      <c r="T146" s="2"/>
      <c r="U146" s="14"/>
      <c r="V146" s="2"/>
      <c r="W146" s="2"/>
      <c r="X146" s="2"/>
      <c r="Y146" s="2"/>
    </row>
    <row r="147" spans="1:25" x14ac:dyDescent="0.2">
      <c r="A147" s="13"/>
      <c r="B147" s="13"/>
      <c r="C147" s="13"/>
      <c r="D147" s="13"/>
      <c r="E147" s="13"/>
      <c r="F147" s="13"/>
      <c r="G147" s="13"/>
      <c r="H147" s="13"/>
      <c r="I147" s="13"/>
      <c r="J147" s="13"/>
      <c r="K147" s="13"/>
      <c r="L147" s="13"/>
      <c r="M147" s="13"/>
      <c r="N147" s="13"/>
      <c r="O147" s="13"/>
      <c r="P147" s="13"/>
      <c r="Q147" s="2"/>
      <c r="R147" s="2"/>
      <c r="S147" s="2"/>
      <c r="T147" s="2"/>
      <c r="U147" s="14"/>
      <c r="V147" s="2"/>
      <c r="W147" s="2"/>
      <c r="X147" s="2"/>
      <c r="Y147" s="2"/>
    </row>
    <row r="148" spans="1:25" x14ac:dyDescent="0.2">
      <c r="A148" s="13"/>
      <c r="B148" s="13"/>
      <c r="C148" s="13"/>
      <c r="D148" s="13"/>
      <c r="E148" s="13"/>
      <c r="F148" s="13"/>
      <c r="G148" s="13"/>
      <c r="H148" s="13"/>
      <c r="I148" s="13"/>
      <c r="J148" s="13"/>
      <c r="K148" s="13"/>
      <c r="L148" s="13"/>
      <c r="M148" s="13"/>
      <c r="N148" s="13"/>
      <c r="O148" s="13"/>
      <c r="P148" s="13"/>
      <c r="Q148" s="2"/>
      <c r="R148" s="2"/>
      <c r="S148" s="2"/>
      <c r="T148" s="2"/>
      <c r="U148" s="14"/>
      <c r="V148" s="2"/>
      <c r="W148" s="2"/>
      <c r="X148" s="2"/>
      <c r="Y148" s="2"/>
    </row>
    <row r="149" spans="1:25" x14ac:dyDescent="0.2">
      <c r="A149" s="13"/>
      <c r="B149" s="13"/>
      <c r="C149" s="13"/>
      <c r="D149" s="13"/>
      <c r="E149" s="13"/>
      <c r="F149" s="13"/>
      <c r="G149" s="13"/>
      <c r="H149" s="13"/>
      <c r="I149" s="13"/>
      <c r="J149" s="13"/>
      <c r="K149" s="13"/>
      <c r="L149" s="13"/>
      <c r="M149" s="13"/>
      <c r="N149" s="13"/>
      <c r="O149" s="13"/>
      <c r="P149" s="13"/>
      <c r="Q149" s="2"/>
      <c r="R149" s="2"/>
      <c r="S149" s="2"/>
      <c r="T149" s="2"/>
      <c r="U149" s="14"/>
      <c r="V149" s="2"/>
      <c r="W149" s="2"/>
      <c r="X149" s="2"/>
      <c r="Y149" s="2"/>
    </row>
    <row r="150" spans="1:25" x14ac:dyDescent="0.2">
      <c r="A150" s="13"/>
      <c r="B150" s="13"/>
      <c r="C150" s="13"/>
      <c r="D150" s="13"/>
      <c r="E150" s="13"/>
      <c r="F150" s="13"/>
      <c r="G150" s="13"/>
      <c r="H150" s="13"/>
      <c r="I150" s="13"/>
      <c r="J150" s="13"/>
      <c r="K150" s="13"/>
      <c r="L150" s="13"/>
      <c r="M150" s="13"/>
      <c r="N150" s="13"/>
      <c r="O150" s="13"/>
      <c r="P150" s="13"/>
      <c r="Q150" s="2"/>
      <c r="R150" s="2"/>
      <c r="S150" s="2"/>
      <c r="T150" s="2"/>
      <c r="U150" s="14"/>
      <c r="V150" s="2"/>
      <c r="W150" s="2"/>
      <c r="X150" s="2"/>
      <c r="Y150" s="2"/>
    </row>
    <row r="151" spans="1:25" x14ac:dyDescent="0.2">
      <c r="A151" s="13"/>
      <c r="B151" s="13"/>
      <c r="C151" s="13"/>
      <c r="D151" s="13"/>
      <c r="E151" s="13"/>
      <c r="F151" s="13"/>
      <c r="G151" s="13"/>
      <c r="H151" s="13"/>
      <c r="I151" s="13"/>
      <c r="J151" s="13"/>
      <c r="K151" s="13"/>
      <c r="L151" s="13"/>
      <c r="M151" s="13"/>
      <c r="N151" s="13"/>
      <c r="O151" s="13"/>
      <c r="P151" s="13"/>
      <c r="Q151" s="2"/>
      <c r="R151" s="2"/>
      <c r="S151" s="2"/>
      <c r="T151" s="2"/>
      <c r="U151" s="14"/>
      <c r="V151" s="2"/>
      <c r="W151" s="2"/>
      <c r="X151" s="2"/>
      <c r="Y151" s="2"/>
    </row>
    <row r="152" spans="1:25" x14ac:dyDescent="0.2">
      <c r="A152" s="13"/>
      <c r="B152" s="13"/>
      <c r="C152" s="13"/>
      <c r="D152" s="13"/>
      <c r="E152" s="13"/>
      <c r="F152" s="13"/>
      <c r="G152" s="13"/>
      <c r="H152" s="13"/>
      <c r="I152" s="13"/>
      <c r="J152" s="13"/>
      <c r="K152" s="13"/>
      <c r="L152" s="13"/>
      <c r="M152" s="13"/>
      <c r="N152" s="13"/>
      <c r="O152" s="13"/>
      <c r="P152" s="13"/>
      <c r="Q152" s="2"/>
      <c r="R152" s="2"/>
      <c r="S152" s="2"/>
      <c r="T152" s="2"/>
      <c r="U152" s="14"/>
      <c r="V152" s="2"/>
      <c r="W152" s="2"/>
      <c r="X152" s="2"/>
      <c r="Y152" s="2"/>
    </row>
    <row r="153" spans="1:25" x14ac:dyDescent="0.2">
      <c r="A153" s="13"/>
      <c r="B153" s="13"/>
      <c r="C153" s="13"/>
      <c r="D153" s="13"/>
      <c r="E153" s="13"/>
      <c r="F153" s="13"/>
      <c r="G153" s="13"/>
      <c r="H153" s="13"/>
      <c r="I153" s="13"/>
      <c r="J153" s="13"/>
      <c r="K153" s="13"/>
      <c r="L153" s="13"/>
      <c r="M153" s="13"/>
      <c r="N153" s="13"/>
      <c r="O153" s="13"/>
      <c r="P153" s="13"/>
      <c r="Q153" s="2"/>
      <c r="R153" s="2"/>
      <c r="S153" s="2"/>
      <c r="T153" s="2"/>
      <c r="U153" s="14"/>
      <c r="V153" s="2"/>
      <c r="W153" s="2"/>
      <c r="X153" s="2"/>
      <c r="Y153" s="2"/>
    </row>
    <row r="154" spans="1:25" x14ac:dyDescent="0.2">
      <c r="A154" s="13"/>
      <c r="B154" s="13"/>
      <c r="C154" s="13"/>
      <c r="D154" s="13"/>
      <c r="E154" s="13"/>
      <c r="F154" s="13"/>
      <c r="G154" s="13"/>
      <c r="H154" s="13"/>
      <c r="I154" s="13"/>
      <c r="J154" s="13"/>
      <c r="K154" s="13"/>
      <c r="L154" s="13"/>
      <c r="M154" s="13"/>
      <c r="N154" s="13"/>
      <c r="O154" s="13"/>
      <c r="P154" s="13"/>
      <c r="Q154" s="2"/>
      <c r="R154" s="2"/>
      <c r="S154" s="2"/>
      <c r="T154" s="2"/>
      <c r="U154" s="14"/>
      <c r="V154" s="2"/>
      <c r="W154" s="2"/>
      <c r="X154" s="2"/>
      <c r="Y154" s="2"/>
    </row>
    <row r="155" spans="1:25" x14ac:dyDescent="0.2">
      <c r="A155" s="13"/>
      <c r="B155" s="13"/>
      <c r="C155" s="13"/>
      <c r="D155" s="13"/>
      <c r="E155" s="13"/>
      <c r="F155" s="13"/>
      <c r="G155" s="13"/>
      <c r="H155" s="13"/>
      <c r="I155" s="13"/>
      <c r="J155" s="13"/>
      <c r="K155" s="13"/>
      <c r="L155" s="13"/>
      <c r="M155" s="13"/>
      <c r="N155" s="13"/>
      <c r="O155" s="13"/>
      <c r="P155" s="13"/>
      <c r="Q155" s="2"/>
      <c r="R155" s="2"/>
      <c r="S155" s="2"/>
      <c r="T155" s="2"/>
      <c r="U155" s="14"/>
      <c r="V155" s="2"/>
      <c r="W155" s="2"/>
      <c r="X155" s="2"/>
      <c r="Y155" s="2"/>
    </row>
    <row r="156" spans="1:25" x14ac:dyDescent="0.2">
      <c r="A156" s="13"/>
      <c r="B156" s="13"/>
      <c r="C156" s="13"/>
      <c r="D156" s="13"/>
      <c r="E156" s="13"/>
      <c r="F156" s="13"/>
      <c r="G156" s="13"/>
      <c r="H156" s="13"/>
      <c r="I156" s="13"/>
      <c r="J156" s="13"/>
      <c r="K156" s="13"/>
      <c r="L156" s="13"/>
      <c r="M156" s="13"/>
      <c r="N156" s="13"/>
      <c r="O156" s="13"/>
      <c r="P156" s="13"/>
      <c r="Q156" s="2"/>
      <c r="R156" s="2"/>
      <c r="S156" s="2"/>
      <c r="T156" s="2"/>
      <c r="U156" s="14"/>
      <c r="V156" s="2"/>
      <c r="W156" s="2"/>
      <c r="X156" s="2"/>
      <c r="Y156" s="2"/>
    </row>
    <row r="157" spans="1:25" x14ac:dyDescent="0.2">
      <c r="A157" s="13"/>
      <c r="B157" s="13"/>
      <c r="C157" s="13"/>
      <c r="D157" s="13"/>
      <c r="E157" s="13"/>
      <c r="F157" s="13"/>
      <c r="G157" s="13"/>
      <c r="H157" s="13"/>
      <c r="I157" s="13"/>
      <c r="J157" s="13"/>
      <c r="K157" s="13"/>
      <c r="L157" s="13"/>
      <c r="M157" s="13"/>
      <c r="N157" s="13"/>
      <c r="O157" s="13"/>
      <c r="P157" s="13"/>
      <c r="Q157" s="2"/>
      <c r="R157" s="2"/>
      <c r="S157" s="2"/>
      <c r="T157" s="2"/>
      <c r="U157" s="14"/>
      <c r="V157" s="2"/>
      <c r="W157" s="2"/>
      <c r="X157" s="2"/>
      <c r="Y157" s="2"/>
    </row>
    <row r="158" spans="1:25" x14ac:dyDescent="0.2">
      <c r="A158" s="13"/>
      <c r="B158" s="13"/>
      <c r="C158" s="13"/>
      <c r="D158" s="13"/>
      <c r="E158" s="13"/>
      <c r="F158" s="13"/>
      <c r="G158" s="13"/>
      <c r="H158" s="13"/>
      <c r="I158" s="13"/>
      <c r="J158" s="13"/>
      <c r="K158" s="13"/>
      <c r="L158" s="13"/>
      <c r="M158" s="13"/>
      <c r="N158" s="13"/>
      <c r="O158" s="13"/>
      <c r="P158" s="13"/>
      <c r="Q158" s="2"/>
      <c r="R158" s="2"/>
      <c r="S158" s="2"/>
      <c r="T158" s="2"/>
      <c r="U158" s="14"/>
      <c r="V158" s="2"/>
      <c r="W158" s="2"/>
      <c r="X158" s="2"/>
      <c r="Y158" s="2"/>
    </row>
    <row r="159" spans="1:25" x14ac:dyDescent="0.2">
      <c r="A159" s="13"/>
      <c r="B159" s="13"/>
      <c r="C159" s="13"/>
      <c r="D159" s="13"/>
      <c r="E159" s="13"/>
      <c r="F159" s="13"/>
      <c r="G159" s="13"/>
      <c r="H159" s="13"/>
      <c r="I159" s="13"/>
      <c r="J159" s="13"/>
      <c r="K159" s="13"/>
      <c r="L159" s="13"/>
      <c r="M159" s="13"/>
      <c r="N159" s="13"/>
      <c r="O159" s="13"/>
      <c r="P159" s="13"/>
      <c r="Q159" s="2"/>
      <c r="R159" s="2"/>
      <c r="S159" s="2"/>
      <c r="T159" s="2"/>
      <c r="U159" s="14"/>
      <c r="V159" s="2"/>
      <c r="W159" s="2"/>
      <c r="X159" s="2"/>
      <c r="Y159" s="2"/>
    </row>
    <row r="160" spans="1:25" x14ac:dyDescent="0.2">
      <c r="A160" s="13"/>
      <c r="B160" s="13"/>
      <c r="C160" s="13"/>
      <c r="D160" s="13"/>
      <c r="E160" s="13"/>
      <c r="F160" s="13"/>
      <c r="G160" s="13"/>
      <c r="H160" s="13"/>
      <c r="I160" s="13"/>
      <c r="J160" s="13"/>
      <c r="K160" s="13"/>
      <c r="L160" s="13"/>
      <c r="M160" s="13"/>
      <c r="N160" s="13"/>
      <c r="O160" s="13"/>
      <c r="P160" s="13"/>
      <c r="Q160" s="2"/>
      <c r="R160" s="2"/>
      <c r="S160" s="2"/>
      <c r="T160" s="2"/>
      <c r="U160" s="14"/>
      <c r="V160" s="2"/>
      <c r="W160" s="2"/>
      <c r="X160" s="2"/>
      <c r="Y160" s="2"/>
    </row>
    <row r="161" spans="1:25" x14ac:dyDescent="0.2">
      <c r="A161" s="13"/>
      <c r="B161" s="13"/>
      <c r="C161" s="13"/>
      <c r="D161" s="13"/>
      <c r="E161" s="13"/>
      <c r="F161" s="13"/>
      <c r="G161" s="13"/>
      <c r="H161" s="13"/>
      <c r="I161" s="13"/>
      <c r="J161" s="13"/>
      <c r="K161" s="13"/>
      <c r="L161" s="13"/>
      <c r="M161" s="13"/>
      <c r="N161" s="13"/>
      <c r="O161" s="13"/>
      <c r="P161" s="13"/>
      <c r="Q161" s="2"/>
      <c r="R161" s="2"/>
      <c r="S161" s="2"/>
      <c r="T161" s="2"/>
      <c r="U161" s="14"/>
      <c r="V161" s="2"/>
      <c r="W161" s="2"/>
      <c r="X161" s="2"/>
      <c r="Y161" s="2"/>
    </row>
    <row r="162" spans="1:25" x14ac:dyDescent="0.2">
      <c r="A162" s="13"/>
      <c r="B162" s="13"/>
      <c r="C162" s="13"/>
      <c r="D162" s="13"/>
      <c r="E162" s="13"/>
      <c r="F162" s="13"/>
      <c r="G162" s="13"/>
      <c r="H162" s="13"/>
      <c r="I162" s="13"/>
      <c r="J162" s="13"/>
      <c r="K162" s="13"/>
      <c r="L162" s="13"/>
      <c r="M162" s="13"/>
      <c r="N162" s="13"/>
      <c r="O162" s="13"/>
      <c r="P162" s="13"/>
      <c r="Q162" s="2"/>
      <c r="R162" s="2"/>
      <c r="S162" s="2"/>
      <c r="T162" s="2"/>
      <c r="U162" s="14"/>
      <c r="V162" s="2"/>
      <c r="W162" s="2"/>
      <c r="X162" s="2"/>
      <c r="Y162" s="2"/>
    </row>
    <row r="163" spans="1:25" x14ac:dyDescent="0.2">
      <c r="A163" s="13"/>
      <c r="B163" s="13"/>
      <c r="C163" s="13"/>
      <c r="D163" s="13"/>
      <c r="E163" s="13"/>
      <c r="F163" s="13"/>
      <c r="G163" s="13"/>
      <c r="H163" s="13"/>
      <c r="I163" s="13"/>
      <c r="J163" s="13"/>
      <c r="K163" s="13"/>
      <c r="L163" s="13"/>
      <c r="M163" s="13"/>
      <c r="N163" s="13"/>
      <c r="O163" s="13"/>
      <c r="P163" s="13"/>
      <c r="Q163" s="2"/>
      <c r="R163" s="2"/>
      <c r="S163" s="2"/>
      <c r="T163" s="2"/>
      <c r="U163" s="14"/>
      <c r="V163" s="2"/>
      <c r="W163" s="2"/>
      <c r="X163" s="2"/>
      <c r="Y163" s="2"/>
    </row>
    <row r="164" spans="1:25" x14ac:dyDescent="0.2">
      <c r="A164" s="13"/>
      <c r="B164" s="13"/>
      <c r="C164" s="13"/>
      <c r="D164" s="13"/>
      <c r="E164" s="13"/>
      <c r="F164" s="13"/>
      <c r="G164" s="13"/>
      <c r="H164" s="13"/>
      <c r="I164" s="13"/>
      <c r="J164" s="13"/>
      <c r="K164" s="13"/>
      <c r="L164" s="13"/>
      <c r="M164" s="13"/>
      <c r="N164" s="13"/>
      <c r="O164" s="13"/>
      <c r="P164" s="13"/>
      <c r="Q164" s="2"/>
      <c r="R164" s="2"/>
      <c r="S164" s="2"/>
      <c r="T164" s="2"/>
      <c r="U164" s="14"/>
      <c r="V164" s="2"/>
      <c r="W164" s="2"/>
      <c r="X164" s="2"/>
      <c r="Y164" s="2"/>
    </row>
    <row r="165" spans="1:25" x14ac:dyDescent="0.2">
      <c r="A165" s="13"/>
      <c r="B165" s="13"/>
      <c r="C165" s="13"/>
      <c r="D165" s="13"/>
      <c r="E165" s="13"/>
      <c r="F165" s="13"/>
      <c r="G165" s="13"/>
      <c r="H165" s="13"/>
      <c r="I165" s="13"/>
      <c r="J165" s="13"/>
      <c r="K165" s="13"/>
      <c r="L165" s="13"/>
      <c r="M165" s="13"/>
      <c r="N165" s="13"/>
      <c r="O165" s="13"/>
      <c r="P165" s="13"/>
      <c r="Q165" s="2"/>
      <c r="R165" s="2"/>
      <c r="S165" s="2"/>
      <c r="T165" s="2"/>
      <c r="U165" s="14"/>
      <c r="V165" s="2"/>
      <c r="W165" s="2"/>
      <c r="X165" s="2"/>
      <c r="Y165" s="2"/>
    </row>
    <row r="166" spans="1:25" x14ac:dyDescent="0.2">
      <c r="A166" s="13"/>
      <c r="B166" s="13"/>
      <c r="C166" s="13"/>
      <c r="D166" s="13"/>
      <c r="E166" s="13"/>
      <c r="F166" s="13"/>
      <c r="G166" s="13"/>
      <c r="H166" s="13"/>
      <c r="I166" s="13"/>
      <c r="J166" s="13"/>
      <c r="K166" s="13"/>
      <c r="L166" s="13"/>
      <c r="M166" s="13"/>
      <c r="N166" s="13"/>
      <c r="O166" s="13"/>
      <c r="P166" s="13"/>
      <c r="Q166" s="2"/>
      <c r="R166" s="2"/>
      <c r="S166" s="2"/>
      <c r="T166" s="2"/>
      <c r="U166" s="14"/>
      <c r="V166" s="2"/>
      <c r="W166" s="2"/>
      <c r="X166" s="2"/>
      <c r="Y166" s="2"/>
    </row>
    <row r="167" spans="1:25" x14ac:dyDescent="0.2">
      <c r="A167" s="13"/>
      <c r="B167" s="13"/>
      <c r="C167" s="13"/>
      <c r="D167" s="13"/>
      <c r="E167" s="13"/>
      <c r="F167" s="13"/>
      <c r="G167" s="13"/>
      <c r="H167" s="13"/>
      <c r="I167" s="13"/>
      <c r="J167" s="13"/>
      <c r="K167" s="13"/>
      <c r="L167" s="13"/>
      <c r="M167" s="13"/>
      <c r="N167" s="13"/>
      <c r="O167" s="13"/>
      <c r="P167" s="13"/>
      <c r="Q167" s="2"/>
      <c r="R167" s="2"/>
      <c r="S167" s="2"/>
      <c r="T167" s="2"/>
      <c r="U167" s="14"/>
      <c r="V167" s="2"/>
      <c r="W167" s="2"/>
      <c r="X167" s="2"/>
      <c r="Y167" s="2"/>
    </row>
    <row r="168" spans="1:25" x14ac:dyDescent="0.2">
      <c r="A168" s="13"/>
      <c r="B168" s="13"/>
      <c r="C168" s="13"/>
      <c r="D168" s="13"/>
      <c r="E168" s="13"/>
      <c r="F168" s="13"/>
      <c r="G168" s="13"/>
      <c r="H168" s="13"/>
      <c r="I168" s="13"/>
      <c r="J168" s="13"/>
      <c r="K168" s="13"/>
      <c r="L168" s="13"/>
      <c r="M168" s="13"/>
      <c r="N168" s="13"/>
      <c r="O168" s="13"/>
      <c r="P168" s="13"/>
      <c r="Q168" s="2"/>
      <c r="R168" s="2"/>
      <c r="S168" s="2"/>
      <c r="T168" s="2"/>
      <c r="U168" s="14"/>
      <c r="V168" s="2"/>
      <c r="W168" s="2"/>
      <c r="X168" s="2"/>
      <c r="Y168" s="2"/>
    </row>
    <row r="169" spans="1:25" x14ac:dyDescent="0.2">
      <c r="A169" s="13"/>
      <c r="B169" s="13"/>
      <c r="C169" s="13"/>
      <c r="D169" s="13"/>
      <c r="E169" s="13"/>
      <c r="F169" s="13"/>
      <c r="G169" s="13"/>
      <c r="H169" s="13"/>
      <c r="I169" s="13"/>
      <c r="J169" s="13"/>
      <c r="K169" s="13"/>
      <c r="L169" s="13"/>
      <c r="M169" s="13"/>
      <c r="N169" s="13"/>
      <c r="O169" s="13"/>
      <c r="P169" s="13"/>
      <c r="Q169" s="2"/>
      <c r="R169" s="2"/>
      <c r="S169" s="2"/>
      <c r="T169" s="2"/>
      <c r="U169" s="14"/>
      <c r="V169" s="2"/>
      <c r="W169" s="2"/>
      <c r="X169" s="2"/>
      <c r="Y169" s="2"/>
    </row>
    <row r="170" spans="1:25" x14ac:dyDescent="0.2">
      <c r="A170" s="13"/>
      <c r="B170" s="13"/>
      <c r="C170" s="13"/>
      <c r="D170" s="13"/>
      <c r="E170" s="13"/>
      <c r="F170" s="13"/>
      <c r="G170" s="13"/>
      <c r="H170" s="13"/>
      <c r="I170" s="13"/>
      <c r="J170" s="13"/>
      <c r="K170" s="13"/>
      <c r="L170" s="13"/>
      <c r="M170" s="13"/>
      <c r="N170" s="13"/>
      <c r="O170" s="13"/>
      <c r="P170" s="13"/>
      <c r="Q170" s="2"/>
      <c r="R170" s="2"/>
      <c r="S170" s="2"/>
      <c r="T170" s="2"/>
      <c r="U170" s="14"/>
      <c r="V170" s="2"/>
      <c r="W170" s="2"/>
      <c r="X170" s="2"/>
      <c r="Y170" s="2"/>
    </row>
    <row r="171" spans="1:25" x14ac:dyDescent="0.2">
      <c r="A171" s="13"/>
      <c r="B171" s="13"/>
      <c r="C171" s="13"/>
      <c r="D171" s="13"/>
      <c r="E171" s="13"/>
      <c r="F171" s="13"/>
      <c r="G171" s="13"/>
      <c r="H171" s="13"/>
      <c r="I171" s="13"/>
      <c r="J171" s="13"/>
      <c r="K171" s="13"/>
      <c r="L171" s="13"/>
      <c r="M171" s="13"/>
      <c r="N171" s="13"/>
      <c r="O171" s="13"/>
      <c r="P171" s="13"/>
      <c r="Q171" s="2"/>
      <c r="R171" s="2"/>
      <c r="S171" s="2"/>
      <c r="T171" s="2"/>
      <c r="U171" s="14"/>
      <c r="V171" s="2"/>
      <c r="W171" s="2"/>
      <c r="X171" s="2"/>
      <c r="Y171" s="2"/>
    </row>
    <row r="172" spans="1:25" x14ac:dyDescent="0.2">
      <c r="A172" s="13"/>
      <c r="B172" s="13"/>
      <c r="C172" s="13"/>
      <c r="D172" s="13"/>
      <c r="E172" s="13"/>
      <c r="F172" s="13"/>
      <c r="G172" s="13"/>
      <c r="H172" s="13"/>
      <c r="I172" s="13"/>
      <c r="J172" s="13"/>
      <c r="K172" s="13"/>
      <c r="L172" s="13"/>
      <c r="M172" s="13"/>
      <c r="N172" s="13"/>
      <c r="O172" s="13"/>
      <c r="P172" s="13"/>
      <c r="Q172" s="2"/>
      <c r="R172" s="2"/>
      <c r="S172" s="2"/>
      <c r="T172" s="2"/>
      <c r="U172" s="14"/>
      <c r="V172" s="2"/>
      <c r="W172" s="2"/>
      <c r="X172" s="2"/>
      <c r="Y172" s="2"/>
    </row>
    <row r="173" spans="1:25" x14ac:dyDescent="0.2">
      <c r="A173" s="13"/>
      <c r="B173" s="13"/>
      <c r="C173" s="13"/>
      <c r="D173" s="13"/>
      <c r="E173" s="13"/>
      <c r="F173" s="13"/>
      <c r="G173" s="13"/>
      <c r="H173" s="13"/>
      <c r="I173" s="13"/>
      <c r="J173" s="13"/>
      <c r="K173" s="13"/>
      <c r="L173" s="13"/>
      <c r="M173" s="13"/>
      <c r="N173" s="13"/>
      <c r="O173" s="13"/>
      <c r="P173" s="13"/>
      <c r="Q173" s="2"/>
      <c r="R173" s="2"/>
      <c r="S173" s="2"/>
      <c r="T173" s="2"/>
      <c r="U173" s="14"/>
      <c r="V173" s="2"/>
      <c r="W173" s="2"/>
      <c r="X173" s="2"/>
      <c r="Y173" s="2"/>
    </row>
    <row r="174" spans="1:25" x14ac:dyDescent="0.2">
      <c r="A174" s="13"/>
      <c r="B174" s="13"/>
      <c r="C174" s="13"/>
      <c r="D174" s="13"/>
      <c r="E174" s="13"/>
      <c r="F174" s="13"/>
      <c r="G174" s="13"/>
      <c r="H174" s="13"/>
      <c r="I174" s="13"/>
      <c r="J174" s="13"/>
      <c r="K174" s="13"/>
      <c r="L174" s="13"/>
      <c r="M174" s="13"/>
      <c r="N174" s="13"/>
      <c r="O174" s="13"/>
      <c r="P174" s="13"/>
      <c r="Q174" s="2"/>
      <c r="R174" s="2"/>
      <c r="S174" s="2"/>
      <c r="T174" s="2"/>
      <c r="U174" s="14"/>
      <c r="V174" s="2"/>
      <c r="W174" s="2"/>
      <c r="X174" s="2"/>
      <c r="Y174" s="2"/>
    </row>
    <row r="175" spans="1:25" x14ac:dyDescent="0.2">
      <c r="A175" s="13"/>
      <c r="B175" s="13"/>
      <c r="C175" s="13"/>
      <c r="D175" s="13"/>
      <c r="E175" s="13"/>
      <c r="F175" s="13"/>
      <c r="G175" s="13"/>
      <c r="H175" s="13"/>
      <c r="I175" s="13"/>
      <c r="J175" s="13"/>
      <c r="K175" s="13"/>
      <c r="L175" s="13"/>
      <c r="M175" s="13"/>
      <c r="N175" s="13"/>
      <c r="O175" s="13"/>
      <c r="P175" s="13"/>
      <c r="Q175" s="2"/>
      <c r="R175" s="2"/>
      <c r="S175" s="2"/>
      <c r="T175" s="2"/>
      <c r="U175" s="14"/>
      <c r="V175" s="2"/>
      <c r="W175" s="2"/>
      <c r="X175" s="2"/>
      <c r="Y175" s="2"/>
    </row>
    <row r="176" spans="1:25" x14ac:dyDescent="0.2">
      <c r="A176" s="13"/>
      <c r="B176" s="13"/>
      <c r="C176" s="13"/>
      <c r="D176" s="13"/>
      <c r="E176" s="13"/>
      <c r="F176" s="13"/>
      <c r="G176" s="13"/>
      <c r="H176" s="13"/>
      <c r="I176" s="13"/>
      <c r="J176" s="13"/>
      <c r="K176" s="13"/>
      <c r="L176" s="13"/>
      <c r="M176" s="13"/>
      <c r="N176" s="13"/>
      <c r="O176" s="13"/>
      <c r="P176" s="13"/>
      <c r="Q176" s="2"/>
      <c r="R176" s="2"/>
      <c r="S176" s="2"/>
      <c r="T176" s="2"/>
      <c r="U176" s="14"/>
      <c r="V176" s="2"/>
      <c r="W176" s="2"/>
      <c r="X176" s="2"/>
      <c r="Y176" s="2"/>
    </row>
    <row r="177" spans="1:25" x14ac:dyDescent="0.2">
      <c r="A177" s="13"/>
      <c r="B177" s="13"/>
      <c r="C177" s="13"/>
      <c r="D177" s="13"/>
      <c r="E177" s="13"/>
      <c r="F177" s="13"/>
      <c r="G177" s="13"/>
      <c r="H177" s="13"/>
      <c r="I177" s="13"/>
      <c r="J177" s="13"/>
      <c r="K177" s="13"/>
      <c r="L177" s="13"/>
      <c r="M177" s="13"/>
      <c r="N177" s="13"/>
      <c r="O177" s="13"/>
      <c r="P177" s="13"/>
      <c r="Q177" s="2"/>
      <c r="R177" s="2"/>
      <c r="S177" s="2"/>
      <c r="T177" s="2"/>
      <c r="U177" s="14"/>
      <c r="V177" s="2"/>
      <c r="W177" s="2"/>
      <c r="X177" s="2"/>
      <c r="Y177" s="2"/>
    </row>
    <row r="178" spans="1:25" x14ac:dyDescent="0.2">
      <c r="A178" s="13"/>
      <c r="B178" s="13"/>
      <c r="C178" s="13"/>
      <c r="D178" s="13"/>
      <c r="E178" s="13"/>
      <c r="F178" s="13"/>
      <c r="G178" s="13"/>
      <c r="H178" s="13"/>
      <c r="I178" s="13"/>
      <c r="J178" s="13"/>
      <c r="K178" s="13"/>
      <c r="L178" s="13"/>
      <c r="M178" s="13"/>
      <c r="N178" s="13"/>
      <c r="O178" s="13"/>
      <c r="P178" s="13"/>
      <c r="Q178" s="2"/>
      <c r="R178" s="2"/>
      <c r="S178" s="2"/>
      <c r="T178" s="2"/>
      <c r="U178" s="14"/>
      <c r="V178" s="2"/>
      <c r="W178" s="2"/>
      <c r="X178" s="2"/>
      <c r="Y178" s="2"/>
    </row>
    <row r="179" spans="1:25" x14ac:dyDescent="0.2">
      <c r="A179" s="13"/>
      <c r="B179" s="13"/>
      <c r="C179" s="13"/>
      <c r="D179" s="13"/>
      <c r="E179" s="13"/>
      <c r="F179" s="13"/>
      <c r="G179" s="13"/>
      <c r="H179" s="13"/>
      <c r="I179" s="13"/>
      <c r="J179" s="13"/>
      <c r="K179" s="13"/>
      <c r="L179" s="13"/>
      <c r="M179" s="13"/>
      <c r="N179" s="13"/>
      <c r="O179" s="13"/>
      <c r="P179" s="13"/>
      <c r="Q179" s="2"/>
      <c r="R179" s="2"/>
      <c r="S179" s="2"/>
      <c r="T179" s="2"/>
      <c r="U179" s="14"/>
      <c r="V179" s="2"/>
      <c r="W179" s="2"/>
      <c r="X179" s="2"/>
      <c r="Y179" s="2"/>
    </row>
    <row r="180" spans="1:25" x14ac:dyDescent="0.2">
      <c r="A180" s="13"/>
      <c r="B180" s="13"/>
      <c r="C180" s="13"/>
      <c r="D180" s="13"/>
      <c r="E180" s="13"/>
      <c r="F180" s="13"/>
      <c r="G180" s="13"/>
      <c r="H180" s="13"/>
      <c r="I180" s="13"/>
      <c r="J180" s="13"/>
      <c r="K180" s="13"/>
      <c r="L180" s="13"/>
      <c r="M180" s="13"/>
      <c r="N180" s="13"/>
      <c r="O180" s="13"/>
      <c r="P180" s="13"/>
      <c r="Q180" s="2"/>
      <c r="R180" s="2"/>
      <c r="S180" s="2"/>
      <c r="T180" s="2"/>
      <c r="U180" s="14"/>
      <c r="V180" s="2"/>
      <c r="W180" s="2"/>
      <c r="X180" s="2"/>
      <c r="Y180" s="2"/>
    </row>
    <row r="181" spans="1:25" x14ac:dyDescent="0.2">
      <c r="A181" s="13"/>
      <c r="B181" s="13"/>
      <c r="C181" s="13"/>
      <c r="D181" s="13"/>
      <c r="E181" s="13"/>
      <c r="F181" s="13"/>
      <c r="G181" s="13"/>
      <c r="H181" s="13"/>
      <c r="I181" s="13"/>
      <c r="J181" s="13"/>
      <c r="K181" s="13"/>
      <c r="L181" s="13"/>
      <c r="M181" s="13"/>
      <c r="N181" s="13"/>
      <c r="O181" s="13"/>
      <c r="P181" s="13"/>
      <c r="Q181" s="2"/>
      <c r="R181" s="2"/>
      <c r="S181" s="2"/>
      <c r="T181" s="2"/>
      <c r="U181" s="14"/>
      <c r="V181" s="2"/>
      <c r="W181" s="2"/>
      <c r="X181" s="2"/>
      <c r="Y181" s="2"/>
    </row>
    <row r="182" spans="1:25" x14ac:dyDescent="0.2">
      <c r="A182" s="13"/>
      <c r="B182" s="13"/>
      <c r="C182" s="13"/>
      <c r="D182" s="13"/>
      <c r="E182" s="13"/>
      <c r="F182" s="13"/>
      <c r="G182" s="13"/>
      <c r="H182" s="13"/>
      <c r="I182" s="13"/>
      <c r="J182" s="13"/>
      <c r="K182" s="13"/>
      <c r="L182" s="13"/>
      <c r="M182" s="13"/>
      <c r="N182" s="13"/>
      <c r="O182" s="13"/>
      <c r="P182" s="13"/>
      <c r="Q182" s="2"/>
      <c r="R182" s="2"/>
      <c r="S182" s="2"/>
      <c r="T182" s="2"/>
      <c r="U182" s="14"/>
      <c r="V182" s="2"/>
      <c r="W182" s="2"/>
      <c r="X182" s="2"/>
      <c r="Y182" s="2"/>
    </row>
    <row r="183" spans="1:25" x14ac:dyDescent="0.2">
      <c r="A183" s="13"/>
      <c r="B183" s="13"/>
      <c r="C183" s="13"/>
      <c r="D183" s="13"/>
      <c r="E183" s="13"/>
      <c r="F183" s="13"/>
      <c r="G183" s="13"/>
      <c r="H183" s="13"/>
      <c r="I183" s="13"/>
      <c r="J183" s="13"/>
      <c r="K183" s="13"/>
      <c r="L183" s="13"/>
      <c r="M183" s="13"/>
      <c r="N183" s="13"/>
      <c r="O183" s="13"/>
      <c r="P183" s="13"/>
      <c r="Q183" s="2"/>
      <c r="R183" s="2"/>
      <c r="S183" s="2"/>
      <c r="T183" s="2"/>
      <c r="U183" s="14"/>
      <c r="V183" s="2"/>
      <c r="W183" s="2"/>
      <c r="X183" s="2"/>
      <c r="Y183" s="2"/>
    </row>
    <row r="184" spans="1:25" x14ac:dyDescent="0.2">
      <c r="A184" s="13"/>
      <c r="B184" s="13"/>
      <c r="C184" s="13"/>
      <c r="D184" s="13"/>
      <c r="E184" s="13"/>
      <c r="F184" s="13"/>
      <c r="G184" s="13"/>
      <c r="H184" s="13"/>
      <c r="I184" s="13"/>
      <c r="J184" s="13"/>
      <c r="K184" s="13"/>
      <c r="L184" s="13"/>
      <c r="M184" s="13"/>
      <c r="N184" s="13"/>
      <c r="O184" s="13"/>
      <c r="P184" s="13"/>
      <c r="Q184" s="2"/>
      <c r="R184" s="2"/>
      <c r="S184" s="2"/>
      <c r="T184" s="2"/>
      <c r="U184" s="14"/>
      <c r="V184" s="2"/>
      <c r="W184" s="2"/>
      <c r="X184" s="2"/>
      <c r="Y184" s="2"/>
    </row>
    <row r="185" spans="1:25" x14ac:dyDescent="0.2">
      <c r="A185" s="13"/>
      <c r="B185" s="13"/>
      <c r="C185" s="13"/>
      <c r="D185" s="13"/>
      <c r="E185" s="13"/>
      <c r="F185" s="13"/>
      <c r="G185" s="13"/>
      <c r="H185" s="13"/>
      <c r="I185" s="13"/>
      <c r="J185" s="13"/>
      <c r="K185" s="13"/>
      <c r="L185" s="13"/>
      <c r="M185" s="13"/>
      <c r="N185" s="13"/>
      <c r="O185" s="13"/>
      <c r="P185" s="13"/>
      <c r="Q185" s="2"/>
      <c r="R185" s="2"/>
      <c r="S185" s="2"/>
      <c r="T185" s="2"/>
      <c r="U185" s="14"/>
      <c r="V185" s="2"/>
      <c r="W185" s="2"/>
      <c r="X185" s="2"/>
      <c r="Y185" s="2"/>
    </row>
    <row r="186" spans="1:25" x14ac:dyDescent="0.2">
      <c r="A186" s="13"/>
      <c r="B186" s="13"/>
      <c r="C186" s="13"/>
      <c r="D186" s="13"/>
      <c r="E186" s="13"/>
      <c r="F186" s="13"/>
      <c r="G186" s="13"/>
      <c r="H186" s="13"/>
      <c r="I186" s="13"/>
      <c r="J186" s="13"/>
      <c r="K186" s="13"/>
      <c r="L186" s="13"/>
      <c r="M186" s="13"/>
      <c r="N186" s="13"/>
      <c r="O186" s="13"/>
      <c r="P186" s="13"/>
      <c r="Q186" s="2"/>
      <c r="R186" s="2"/>
      <c r="S186" s="2"/>
      <c r="T186" s="2"/>
      <c r="U186" s="14"/>
      <c r="V186" s="2"/>
      <c r="W186" s="2"/>
      <c r="X186" s="2"/>
      <c r="Y186" s="2"/>
    </row>
    <row r="187" spans="1:25" x14ac:dyDescent="0.2">
      <c r="A187" s="13"/>
      <c r="B187" s="13"/>
      <c r="C187" s="13"/>
      <c r="D187" s="13"/>
      <c r="E187" s="13"/>
      <c r="F187" s="13"/>
      <c r="G187" s="13"/>
      <c r="H187" s="13"/>
      <c r="I187" s="13"/>
      <c r="J187" s="13"/>
      <c r="K187" s="13"/>
      <c r="L187" s="13"/>
      <c r="M187" s="13"/>
      <c r="N187" s="13"/>
      <c r="O187" s="13"/>
      <c r="P187" s="13"/>
      <c r="Q187" s="2"/>
      <c r="R187" s="2"/>
      <c r="S187" s="2"/>
      <c r="T187" s="2"/>
      <c r="U187" s="14"/>
      <c r="V187" s="2"/>
      <c r="W187" s="2"/>
      <c r="X187" s="2"/>
      <c r="Y187" s="2"/>
    </row>
    <row r="188" spans="1:25" x14ac:dyDescent="0.2">
      <c r="A188" s="13"/>
      <c r="B188" s="13"/>
      <c r="C188" s="13"/>
      <c r="D188" s="13"/>
      <c r="E188" s="13"/>
      <c r="F188" s="13"/>
      <c r="G188" s="13"/>
      <c r="H188" s="13"/>
      <c r="I188" s="13"/>
      <c r="J188" s="13"/>
      <c r="K188" s="13"/>
      <c r="L188" s="13"/>
      <c r="M188" s="13"/>
      <c r="N188" s="13"/>
      <c r="O188" s="13"/>
      <c r="P188" s="13"/>
      <c r="Q188" s="2"/>
      <c r="R188" s="2"/>
      <c r="S188" s="2"/>
      <c r="T188" s="2"/>
      <c r="U188" s="14"/>
      <c r="V188" s="2"/>
      <c r="W188" s="2"/>
      <c r="X188" s="2"/>
      <c r="Y188" s="2"/>
    </row>
    <row r="189" spans="1:25" x14ac:dyDescent="0.2">
      <c r="A189" s="13"/>
      <c r="B189" s="13"/>
      <c r="C189" s="13"/>
      <c r="D189" s="13"/>
      <c r="E189" s="13"/>
      <c r="F189" s="13"/>
      <c r="G189" s="13"/>
      <c r="H189" s="13"/>
      <c r="I189" s="13"/>
      <c r="J189" s="13"/>
      <c r="K189" s="13"/>
      <c r="L189" s="13"/>
      <c r="M189" s="13"/>
      <c r="N189" s="13"/>
      <c r="O189" s="13"/>
      <c r="P189" s="13"/>
      <c r="Q189" s="2"/>
      <c r="R189" s="2"/>
      <c r="S189" s="2"/>
      <c r="T189" s="2"/>
      <c r="U189" s="14"/>
      <c r="V189" s="2"/>
      <c r="W189" s="2"/>
      <c r="X189" s="2"/>
      <c r="Y189" s="2"/>
    </row>
    <row r="190" spans="1:25" x14ac:dyDescent="0.2">
      <c r="A190" s="13"/>
      <c r="B190" s="13"/>
      <c r="C190" s="13"/>
      <c r="D190" s="13"/>
      <c r="E190" s="13"/>
      <c r="F190" s="13"/>
      <c r="G190" s="13"/>
      <c r="H190" s="13"/>
      <c r="I190" s="13"/>
      <c r="J190" s="13"/>
      <c r="K190" s="13"/>
      <c r="L190" s="13"/>
      <c r="M190" s="13"/>
      <c r="N190" s="13"/>
      <c r="O190" s="13"/>
      <c r="P190" s="13"/>
      <c r="Q190" s="2"/>
      <c r="R190" s="2"/>
      <c r="S190" s="2"/>
      <c r="T190" s="2"/>
      <c r="U190" s="14"/>
      <c r="V190" s="2"/>
      <c r="W190" s="2"/>
      <c r="X190" s="2"/>
      <c r="Y190" s="2"/>
    </row>
    <row r="191" spans="1:25" x14ac:dyDescent="0.2">
      <c r="A191" s="13"/>
      <c r="B191" s="13"/>
      <c r="C191" s="13"/>
      <c r="D191" s="13"/>
      <c r="E191" s="13"/>
      <c r="F191" s="13"/>
      <c r="G191" s="13"/>
      <c r="H191" s="13"/>
      <c r="I191" s="13"/>
      <c r="J191" s="13"/>
      <c r="K191" s="13"/>
      <c r="L191" s="13"/>
      <c r="M191" s="13"/>
      <c r="N191" s="13"/>
      <c r="O191" s="13"/>
      <c r="P191" s="13"/>
      <c r="Q191" s="2"/>
      <c r="R191" s="2"/>
      <c r="S191" s="2"/>
      <c r="T191" s="2"/>
      <c r="U191" s="14"/>
      <c r="V191" s="2"/>
      <c r="W191" s="2"/>
      <c r="X191" s="2"/>
      <c r="Y191" s="2"/>
    </row>
    <row r="192" spans="1:25" x14ac:dyDescent="0.2">
      <c r="A192" s="13"/>
      <c r="B192" s="13"/>
      <c r="C192" s="13"/>
      <c r="D192" s="13"/>
      <c r="E192" s="13"/>
      <c r="F192" s="13"/>
      <c r="G192" s="13"/>
      <c r="H192" s="13"/>
      <c r="I192" s="13"/>
      <c r="J192" s="13"/>
      <c r="K192" s="13"/>
      <c r="L192" s="13"/>
      <c r="M192" s="13"/>
      <c r="N192" s="13"/>
      <c r="O192" s="13"/>
      <c r="P192" s="13"/>
      <c r="Q192" s="2"/>
      <c r="R192" s="2"/>
      <c r="S192" s="2"/>
      <c r="T192" s="2"/>
      <c r="U192" s="14"/>
      <c r="V192" s="2"/>
      <c r="W192" s="2"/>
      <c r="X192" s="2"/>
      <c r="Y192" s="2"/>
    </row>
    <row r="193" spans="1:25" x14ac:dyDescent="0.2">
      <c r="A193" s="13"/>
      <c r="B193" s="13"/>
      <c r="C193" s="13"/>
      <c r="D193" s="13"/>
      <c r="E193" s="13"/>
      <c r="F193" s="13"/>
      <c r="G193" s="13"/>
      <c r="H193" s="13"/>
      <c r="I193" s="13"/>
      <c r="J193" s="13"/>
      <c r="K193" s="13"/>
      <c r="L193" s="13"/>
      <c r="M193" s="13"/>
      <c r="N193" s="13"/>
      <c r="O193" s="13"/>
      <c r="P193" s="13"/>
      <c r="Q193" s="2"/>
      <c r="R193" s="2"/>
      <c r="S193" s="2"/>
      <c r="T193" s="2"/>
      <c r="U193" s="14"/>
      <c r="V193" s="2"/>
      <c r="W193" s="2"/>
      <c r="X193" s="2"/>
      <c r="Y193" s="2"/>
    </row>
    <row r="194" spans="1:25" x14ac:dyDescent="0.2">
      <c r="A194" s="13"/>
      <c r="B194" s="13"/>
      <c r="C194" s="13"/>
      <c r="D194" s="13"/>
      <c r="E194" s="13"/>
      <c r="F194" s="13"/>
      <c r="G194" s="13"/>
      <c r="H194" s="13"/>
      <c r="I194" s="13"/>
      <c r="J194" s="13"/>
      <c r="K194" s="13"/>
      <c r="L194" s="13"/>
      <c r="M194" s="13"/>
      <c r="N194" s="13"/>
      <c r="O194" s="13"/>
      <c r="P194" s="13"/>
      <c r="Q194" s="2"/>
      <c r="R194" s="2"/>
      <c r="S194" s="2"/>
      <c r="T194" s="2"/>
      <c r="U194" s="14"/>
      <c r="V194" s="2"/>
      <c r="W194" s="2"/>
      <c r="X194" s="2"/>
      <c r="Y194" s="2"/>
    </row>
    <row r="195" spans="1:25" x14ac:dyDescent="0.2">
      <c r="A195" s="13"/>
      <c r="B195" s="13"/>
      <c r="C195" s="13"/>
      <c r="D195" s="13"/>
      <c r="E195" s="13"/>
      <c r="F195" s="13"/>
      <c r="G195" s="13"/>
      <c r="H195" s="13"/>
      <c r="I195" s="13"/>
      <c r="J195" s="13"/>
      <c r="K195" s="13"/>
      <c r="L195" s="13"/>
      <c r="M195" s="13"/>
      <c r="N195" s="13"/>
      <c r="O195" s="13"/>
      <c r="P195" s="13"/>
      <c r="Q195" s="2"/>
      <c r="R195" s="2"/>
      <c r="S195" s="2"/>
      <c r="T195" s="2"/>
      <c r="U195" s="14"/>
      <c r="V195" s="2"/>
      <c r="W195" s="2"/>
      <c r="X195" s="2"/>
      <c r="Y195" s="2"/>
    </row>
    <row r="196" spans="1:25" x14ac:dyDescent="0.2">
      <c r="A196" s="13"/>
      <c r="B196" s="13"/>
      <c r="C196" s="13"/>
      <c r="D196" s="13"/>
      <c r="E196" s="13"/>
      <c r="F196" s="13"/>
      <c r="G196" s="13"/>
      <c r="H196" s="13"/>
      <c r="I196" s="13"/>
      <c r="J196" s="13"/>
      <c r="K196" s="13"/>
      <c r="L196" s="13"/>
      <c r="M196" s="13"/>
      <c r="N196" s="13"/>
      <c r="O196" s="13"/>
      <c r="P196" s="13"/>
      <c r="Q196" s="2"/>
      <c r="R196" s="2"/>
      <c r="S196" s="2"/>
      <c r="T196" s="2"/>
      <c r="U196" s="14"/>
      <c r="V196" s="2"/>
      <c r="W196" s="2"/>
      <c r="X196" s="2"/>
      <c r="Y196" s="2"/>
    </row>
    <row r="197" spans="1:25" x14ac:dyDescent="0.2">
      <c r="A197" s="13"/>
      <c r="B197" s="13"/>
      <c r="C197" s="13"/>
      <c r="D197" s="13"/>
      <c r="E197" s="13"/>
      <c r="F197" s="13"/>
      <c r="G197" s="13"/>
      <c r="H197" s="13"/>
      <c r="I197" s="13"/>
      <c r="J197" s="13"/>
      <c r="K197" s="13"/>
      <c r="L197" s="13"/>
      <c r="M197" s="13"/>
      <c r="N197" s="13"/>
      <c r="O197" s="13"/>
      <c r="P197" s="13"/>
      <c r="Q197" s="2"/>
      <c r="R197" s="2"/>
      <c r="S197" s="2"/>
      <c r="T197" s="2"/>
      <c r="U197" s="14"/>
      <c r="V197" s="2"/>
      <c r="W197" s="2"/>
      <c r="X197" s="2"/>
      <c r="Y197" s="2"/>
    </row>
    <row r="198" spans="1:25" x14ac:dyDescent="0.2">
      <c r="A198" s="13"/>
      <c r="B198" s="13"/>
      <c r="C198" s="13"/>
      <c r="D198" s="13"/>
      <c r="E198" s="13"/>
      <c r="F198" s="13"/>
      <c r="G198" s="13"/>
      <c r="H198" s="13"/>
      <c r="I198" s="13"/>
      <c r="J198" s="13"/>
      <c r="K198" s="13"/>
      <c r="L198" s="13"/>
      <c r="M198" s="13"/>
      <c r="N198" s="13"/>
      <c r="O198" s="13"/>
      <c r="P198" s="13"/>
      <c r="Q198" s="2"/>
      <c r="R198" s="2"/>
      <c r="S198" s="2"/>
      <c r="T198" s="2"/>
      <c r="U198" s="14"/>
      <c r="V198" s="2"/>
      <c r="W198" s="2"/>
      <c r="X198" s="2"/>
      <c r="Y198" s="2"/>
    </row>
    <row r="199" spans="1:25" x14ac:dyDescent="0.2">
      <c r="A199" s="13"/>
      <c r="B199" s="13"/>
      <c r="C199" s="13"/>
      <c r="D199" s="13"/>
      <c r="E199" s="13"/>
      <c r="F199" s="13"/>
      <c r="G199" s="13"/>
      <c r="H199" s="13"/>
      <c r="I199" s="13"/>
      <c r="J199" s="13"/>
      <c r="K199" s="13"/>
      <c r="L199" s="13"/>
      <c r="M199" s="13"/>
      <c r="N199" s="13"/>
      <c r="O199" s="13"/>
      <c r="P199" s="13"/>
      <c r="Q199" s="2"/>
      <c r="R199" s="2"/>
      <c r="S199" s="2"/>
      <c r="T199" s="2"/>
      <c r="U199" s="14"/>
      <c r="V199" s="2"/>
      <c r="W199" s="2"/>
      <c r="X199" s="2"/>
      <c r="Y199" s="2"/>
    </row>
    <row r="200" spans="1:25" x14ac:dyDescent="0.2">
      <c r="A200" s="13"/>
      <c r="B200" s="13"/>
      <c r="C200" s="13"/>
      <c r="D200" s="13"/>
      <c r="E200" s="13"/>
      <c r="F200" s="13"/>
      <c r="G200" s="13"/>
      <c r="H200" s="13"/>
      <c r="I200" s="13"/>
      <c r="J200" s="13"/>
      <c r="K200" s="13"/>
      <c r="L200" s="13"/>
      <c r="M200" s="13"/>
      <c r="N200" s="13"/>
      <c r="O200" s="13"/>
      <c r="P200" s="13"/>
      <c r="Q200" s="2"/>
      <c r="R200" s="2"/>
      <c r="S200" s="2"/>
      <c r="T200" s="2"/>
      <c r="U200" s="14"/>
      <c r="V200" s="2"/>
      <c r="W200" s="2"/>
      <c r="X200" s="2"/>
      <c r="Y200" s="2"/>
    </row>
    <row r="201" spans="1:25" x14ac:dyDescent="0.2">
      <c r="A201" s="13"/>
      <c r="B201" s="13"/>
      <c r="C201" s="13"/>
      <c r="D201" s="13"/>
      <c r="E201" s="13"/>
      <c r="F201" s="13"/>
      <c r="G201" s="13"/>
      <c r="H201" s="13"/>
      <c r="I201" s="13"/>
      <c r="J201" s="13"/>
      <c r="K201" s="13"/>
      <c r="L201" s="13"/>
      <c r="M201" s="13"/>
      <c r="N201" s="13"/>
      <c r="O201" s="13"/>
      <c r="P201" s="13"/>
      <c r="Q201" s="2"/>
      <c r="R201" s="2"/>
      <c r="S201" s="2"/>
      <c r="T201" s="2"/>
      <c r="U201" s="14"/>
      <c r="V201" s="2"/>
      <c r="W201" s="2"/>
      <c r="X201" s="2"/>
      <c r="Y201" s="2"/>
    </row>
    <row r="202" spans="1:25" x14ac:dyDescent="0.2">
      <c r="A202" s="13"/>
      <c r="B202" s="13"/>
      <c r="C202" s="13"/>
      <c r="D202" s="13"/>
      <c r="E202" s="13"/>
      <c r="F202" s="13"/>
      <c r="G202" s="13"/>
      <c r="H202" s="13"/>
      <c r="I202" s="13"/>
      <c r="J202" s="13"/>
      <c r="K202" s="13"/>
      <c r="L202" s="13"/>
      <c r="M202" s="13"/>
      <c r="N202" s="13"/>
      <c r="O202" s="13"/>
      <c r="P202" s="13"/>
      <c r="Q202" s="2"/>
      <c r="R202" s="2"/>
      <c r="S202" s="2"/>
      <c r="T202" s="2"/>
      <c r="U202" s="14"/>
      <c r="V202" s="2"/>
      <c r="W202" s="2"/>
      <c r="X202" s="2"/>
      <c r="Y202" s="2"/>
    </row>
    <row r="203" spans="1:25" x14ac:dyDescent="0.2">
      <c r="A203" s="13"/>
      <c r="B203" s="13"/>
      <c r="C203" s="13"/>
      <c r="D203" s="13"/>
      <c r="E203" s="13"/>
      <c r="F203" s="13"/>
      <c r="G203" s="13"/>
      <c r="H203" s="13"/>
      <c r="I203" s="13"/>
      <c r="J203" s="13"/>
      <c r="K203" s="13"/>
      <c r="L203" s="13"/>
      <c r="M203" s="13"/>
      <c r="N203" s="13"/>
      <c r="O203" s="13"/>
      <c r="P203" s="13"/>
      <c r="Q203" s="2"/>
      <c r="R203" s="2"/>
      <c r="S203" s="2"/>
      <c r="T203" s="2"/>
      <c r="U203" s="14"/>
      <c r="V203" s="2"/>
      <c r="W203" s="2"/>
      <c r="X203" s="2"/>
      <c r="Y203" s="2"/>
    </row>
    <row r="204" spans="1:25" x14ac:dyDescent="0.2">
      <c r="A204" s="13"/>
      <c r="B204" s="13"/>
      <c r="C204" s="13"/>
      <c r="D204" s="13"/>
      <c r="E204" s="13"/>
      <c r="F204" s="13"/>
      <c r="G204" s="13"/>
      <c r="H204" s="13"/>
      <c r="I204" s="13"/>
      <c r="J204" s="13"/>
      <c r="K204" s="13"/>
      <c r="L204" s="13"/>
      <c r="M204" s="13"/>
      <c r="N204" s="13"/>
      <c r="O204" s="13"/>
      <c r="P204" s="13"/>
      <c r="Q204" s="2"/>
      <c r="R204" s="2"/>
      <c r="S204" s="2"/>
      <c r="T204" s="2"/>
      <c r="U204" s="14"/>
      <c r="V204" s="2"/>
      <c r="W204" s="2"/>
      <c r="X204" s="2"/>
      <c r="Y204" s="2"/>
    </row>
    <row r="205" spans="1:25" x14ac:dyDescent="0.2">
      <c r="A205" s="13"/>
      <c r="B205" s="13"/>
      <c r="C205" s="13"/>
      <c r="D205" s="13"/>
      <c r="E205" s="13"/>
      <c r="F205" s="13"/>
      <c r="G205" s="13"/>
      <c r="H205" s="13"/>
      <c r="I205" s="13"/>
      <c r="J205" s="13"/>
      <c r="K205" s="13"/>
      <c r="L205" s="13"/>
      <c r="M205" s="13"/>
      <c r="N205" s="13"/>
      <c r="O205" s="13"/>
      <c r="P205" s="13"/>
      <c r="Q205" s="2"/>
      <c r="R205" s="2"/>
      <c r="S205" s="2"/>
      <c r="T205" s="2"/>
      <c r="U205" s="14"/>
      <c r="V205" s="2"/>
      <c r="W205" s="2"/>
      <c r="X205" s="2"/>
      <c r="Y205" s="2"/>
    </row>
    <row r="206" spans="1:25" x14ac:dyDescent="0.2">
      <c r="A206" s="13"/>
      <c r="B206" s="13"/>
      <c r="C206" s="13"/>
      <c r="D206" s="13"/>
      <c r="E206" s="13"/>
      <c r="F206" s="13"/>
      <c r="G206" s="13"/>
      <c r="H206" s="13"/>
      <c r="I206" s="13"/>
      <c r="J206" s="13"/>
      <c r="K206" s="13"/>
      <c r="L206" s="13"/>
      <c r="M206" s="13"/>
      <c r="N206" s="13"/>
      <c r="O206" s="13"/>
      <c r="P206" s="13"/>
      <c r="Q206" s="2"/>
      <c r="R206" s="2"/>
      <c r="S206" s="2"/>
      <c r="T206" s="2"/>
      <c r="U206" s="14"/>
      <c r="V206" s="2"/>
      <c r="W206" s="2"/>
      <c r="X206" s="2"/>
      <c r="Y206" s="2"/>
    </row>
    <row r="207" spans="1:25" x14ac:dyDescent="0.2">
      <c r="A207" s="13"/>
      <c r="B207" s="13"/>
      <c r="C207" s="13"/>
      <c r="D207" s="13"/>
      <c r="E207" s="13"/>
      <c r="F207" s="13"/>
      <c r="G207" s="13"/>
      <c r="H207" s="13"/>
      <c r="I207" s="13"/>
      <c r="J207" s="13"/>
      <c r="K207" s="13"/>
      <c r="L207" s="13"/>
      <c r="M207" s="13"/>
      <c r="N207" s="13"/>
      <c r="O207" s="13"/>
      <c r="P207" s="13"/>
      <c r="Q207" s="2"/>
      <c r="R207" s="2"/>
      <c r="S207" s="2"/>
      <c r="T207" s="2"/>
      <c r="U207" s="14"/>
      <c r="V207" s="2"/>
      <c r="W207" s="2"/>
      <c r="X207" s="2"/>
      <c r="Y207" s="2"/>
    </row>
    <row r="208" spans="1:25" x14ac:dyDescent="0.2">
      <c r="A208" s="13"/>
      <c r="B208" s="13"/>
      <c r="C208" s="13"/>
      <c r="D208" s="13"/>
      <c r="E208" s="13"/>
      <c r="F208" s="13"/>
      <c r="G208" s="13"/>
      <c r="H208" s="13"/>
      <c r="I208" s="13"/>
      <c r="J208" s="13"/>
      <c r="K208" s="13"/>
      <c r="L208" s="13"/>
      <c r="M208" s="13"/>
      <c r="N208" s="13"/>
      <c r="O208" s="13"/>
      <c r="P208" s="13"/>
      <c r="Q208" s="2"/>
      <c r="R208" s="2"/>
      <c r="S208" s="2"/>
      <c r="T208" s="2"/>
      <c r="U208" s="14"/>
      <c r="V208" s="2"/>
      <c r="W208" s="2"/>
      <c r="X208" s="2"/>
      <c r="Y208" s="2"/>
    </row>
    <row r="209" spans="1:25" x14ac:dyDescent="0.2">
      <c r="A209" s="13"/>
      <c r="B209" s="13"/>
      <c r="C209" s="13"/>
      <c r="D209" s="13"/>
      <c r="E209" s="13"/>
      <c r="F209" s="13"/>
      <c r="G209" s="13"/>
      <c r="H209" s="13"/>
      <c r="I209" s="13"/>
      <c r="J209" s="13"/>
      <c r="K209" s="13"/>
      <c r="L209" s="13"/>
      <c r="M209" s="13"/>
      <c r="N209" s="13"/>
      <c r="O209" s="13"/>
      <c r="P209" s="13"/>
      <c r="Q209" s="2"/>
      <c r="R209" s="2"/>
      <c r="S209" s="2"/>
      <c r="T209" s="2"/>
      <c r="U209" s="14"/>
      <c r="V209" s="2"/>
      <c r="W209" s="2"/>
      <c r="X209" s="2"/>
      <c r="Y209" s="2"/>
    </row>
    <row r="210" spans="1:25" x14ac:dyDescent="0.2">
      <c r="A210" s="13"/>
      <c r="B210" s="13"/>
      <c r="C210" s="13"/>
      <c r="D210" s="13"/>
      <c r="E210" s="13"/>
      <c r="F210" s="13"/>
      <c r="G210" s="13"/>
      <c r="H210" s="13"/>
      <c r="I210" s="13"/>
      <c r="J210" s="13"/>
      <c r="K210" s="13"/>
      <c r="L210" s="13"/>
      <c r="M210" s="13"/>
      <c r="N210" s="13"/>
      <c r="O210" s="13"/>
      <c r="P210" s="13"/>
      <c r="Q210" s="2"/>
      <c r="R210" s="2"/>
      <c r="S210" s="2"/>
      <c r="T210" s="2"/>
      <c r="U210" s="14"/>
      <c r="V210" s="2"/>
      <c r="W210" s="2"/>
      <c r="X210" s="2"/>
      <c r="Y210" s="2"/>
    </row>
    <row r="211" spans="1:25" x14ac:dyDescent="0.2">
      <c r="A211" s="13"/>
      <c r="B211" s="13"/>
      <c r="C211" s="13"/>
      <c r="D211" s="13"/>
      <c r="E211" s="13"/>
      <c r="F211" s="13"/>
      <c r="G211" s="13"/>
      <c r="H211" s="13"/>
      <c r="I211" s="13"/>
      <c r="J211" s="13"/>
      <c r="K211" s="13"/>
      <c r="L211" s="13"/>
      <c r="M211" s="13"/>
      <c r="N211" s="13"/>
      <c r="O211" s="13"/>
      <c r="P211" s="13"/>
      <c r="Q211" s="2"/>
      <c r="R211" s="2"/>
      <c r="S211" s="2"/>
      <c r="T211" s="2"/>
      <c r="U211" s="14"/>
      <c r="V211" s="2"/>
      <c r="W211" s="2"/>
      <c r="X211" s="2"/>
      <c r="Y211" s="2"/>
    </row>
    <row r="212" spans="1:25" x14ac:dyDescent="0.2">
      <c r="A212" s="13"/>
      <c r="B212" s="13"/>
      <c r="C212" s="13"/>
      <c r="D212" s="13"/>
      <c r="E212" s="13"/>
      <c r="F212" s="13"/>
      <c r="G212" s="13"/>
      <c r="H212" s="13"/>
      <c r="I212" s="13"/>
      <c r="J212" s="13"/>
      <c r="K212" s="13"/>
      <c r="L212" s="13"/>
      <c r="M212" s="13"/>
      <c r="N212" s="13"/>
      <c r="O212" s="13"/>
      <c r="P212" s="13"/>
      <c r="Q212" s="2"/>
      <c r="R212" s="2"/>
      <c r="S212" s="2"/>
      <c r="T212" s="2"/>
      <c r="U212" s="14"/>
      <c r="V212" s="2"/>
      <c r="W212" s="2"/>
      <c r="X212" s="2"/>
      <c r="Y212" s="2"/>
    </row>
    <row r="213" spans="1:25" x14ac:dyDescent="0.2">
      <c r="A213" s="13"/>
      <c r="B213" s="13"/>
      <c r="C213" s="13"/>
      <c r="D213" s="13"/>
      <c r="E213" s="13"/>
      <c r="F213" s="13"/>
      <c r="G213" s="13"/>
      <c r="H213" s="13"/>
      <c r="I213" s="13"/>
      <c r="J213" s="13"/>
      <c r="K213" s="13"/>
      <c r="L213" s="13"/>
      <c r="M213" s="13"/>
      <c r="N213" s="13"/>
      <c r="O213" s="13"/>
      <c r="P213" s="13"/>
      <c r="Q213" s="2"/>
      <c r="R213" s="2"/>
      <c r="S213" s="2"/>
      <c r="T213" s="2"/>
      <c r="U213" s="14"/>
      <c r="V213" s="2"/>
      <c r="W213" s="2"/>
      <c r="X213" s="2"/>
      <c r="Y213" s="2"/>
    </row>
    <row r="214" spans="1:25" x14ac:dyDescent="0.2">
      <c r="A214" s="13"/>
      <c r="B214" s="13"/>
      <c r="C214" s="13"/>
      <c r="D214" s="13"/>
      <c r="E214" s="13"/>
      <c r="F214" s="13"/>
      <c r="G214" s="13"/>
      <c r="H214" s="13"/>
      <c r="I214" s="13"/>
      <c r="J214" s="13"/>
      <c r="K214" s="13"/>
      <c r="L214" s="13"/>
      <c r="M214" s="13"/>
      <c r="N214" s="13"/>
      <c r="O214" s="13"/>
      <c r="P214" s="13"/>
      <c r="Q214" s="2"/>
      <c r="R214" s="2"/>
      <c r="S214" s="2"/>
      <c r="T214" s="2"/>
      <c r="U214" s="14"/>
      <c r="V214" s="2"/>
      <c r="W214" s="2"/>
      <c r="X214" s="2"/>
      <c r="Y214" s="2"/>
    </row>
    <row r="215" spans="1:25" x14ac:dyDescent="0.2">
      <c r="A215" s="13"/>
      <c r="B215" s="13"/>
      <c r="C215" s="13"/>
      <c r="D215" s="13"/>
      <c r="E215" s="13"/>
      <c r="F215" s="13"/>
      <c r="G215" s="13"/>
      <c r="H215" s="13"/>
      <c r="I215" s="13"/>
      <c r="J215" s="13"/>
      <c r="K215" s="13"/>
      <c r="L215" s="13"/>
      <c r="M215" s="13"/>
      <c r="N215" s="13"/>
      <c r="O215" s="13"/>
      <c r="P215" s="13"/>
      <c r="Q215" s="2"/>
      <c r="R215" s="2"/>
      <c r="S215" s="2"/>
      <c r="T215" s="2"/>
      <c r="U215" s="14"/>
      <c r="V215" s="2"/>
      <c r="W215" s="2"/>
      <c r="X215" s="2"/>
      <c r="Y215" s="2"/>
    </row>
    <row r="216" spans="1:25" x14ac:dyDescent="0.2">
      <c r="A216" s="13"/>
      <c r="B216" s="13"/>
      <c r="C216" s="13"/>
      <c r="D216" s="13"/>
      <c r="E216" s="13"/>
      <c r="F216" s="13"/>
      <c r="G216" s="13"/>
      <c r="H216" s="13"/>
      <c r="I216" s="13"/>
      <c r="J216" s="13"/>
      <c r="K216" s="13"/>
      <c r="L216" s="13"/>
      <c r="M216" s="13"/>
      <c r="N216" s="13"/>
      <c r="O216" s="13"/>
      <c r="P216" s="13"/>
      <c r="Q216" s="2"/>
      <c r="R216" s="2"/>
      <c r="S216" s="2"/>
      <c r="T216" s="2"/>
      <c r="U216" s="14"/>
      <c r="V216" s="2"/>
      <c r="W216" s="2"/>
      <c r="X216" s="2"/>
      <c r="Y216" s="2"/>
    </row>
    <row r="217" spans="1:25" x14ac:dyDescent="0.2">
      <c r="A217" s="13"/>
      <c r="B217" s="13"/>
      <c r="C217" s="13"/>
      <c r="D217" s="13"/>
      <c r="E217" s="13"/>
      <c r="F217" s="13"/>
      <c r="G217" s="13"/>
      <c r="H217" s="13"/>
      <c r="I217" s="13"/>
      <c r="J217" s="13"/>
      <c r="K217" s="13"/>
      <c r="L217" s="13"/>
      <c r="M217" s="13"/>
      <c r="N217" s="13"/>
      <c r="O217" s="13"/>
      <c r="P217" s="13"/>
      <c r="Q217" s="2"/>
      <c r="R217" s="2"/>
      <c r="S217" s="2"/>
      <c r="T217" s="2"/>
      <c r="U217" s="14"/>
      <c r="V217" s="2"/>
      <c r="W217" s="2"/>
      <c r="X217" s="2"/>
      <c r="Y217" s="2"/>
    </row>
    <row r="218" spans="1:25" x14ac:dyDescent="0.2">
      <c r="A218" s="13"/>
      <c r="B218" s="13"/>
      <c r="C218" s="13"/>
      <c r="D218" s="13"/>
      <c r="E218" s="13"/>
      <c r="F218" s="13"/>
      <c r="G218" s="13"/>
      <c r="H218" s="13"/>
      <c r="I218" s="13"/>
      <c r="J218" s="13"/>
      <c r="K218" s="13"/>
      <c r="L218" s="13"/>
      <c r="M218" s="13"/>
      <c r="N218" s="13"/>
      <c r="O218" s="13"/>
      <c r="P218" s="13"/>
      <c r="Q218" s="2"/>
      <c r="R218" s="2"/>
      <c r="S218" s="2"/>
      <c r="T218" s="2"/>
      <c r="U218" s="14"/>
      <c r="V218" s="2"/>
      <c r="W218" s="2"/>
      <c r="X218" s="2"/>
      <c r="Y218" s="2"/>
    </row>
    <row r="219" spans="1:25" x14ac:dyDescent="0.2">
      <c r="A219" s="13"/>
      <c r="B219" s="13"/>
      <c r="C219" s="13"/>
      <c r="D219" s="13"/>
      <c r="E219" s="13"/>
      <c r="F219" s="13"/>
      <c r="G219" s="13"/>
      <c r="H219" s="13"/>
      <c r="I219" s="13"/>
      <c r="J219" s="13"/>
      <c r="K219" s="13"/>
      <c r="L219" s="13"/>
      <c r="M219" s="13"/>
      <c r="N219" s="13"/>
      <c r="O219" s="13"/>
      <c r="P219" s="13"/>
      <c r="Q219" s="2"/>
      <c r="R219" s="2"/>
      <c r="S219" s="2"/>
      <c r="T219" s="2"/>
      <c r="U219" s="14"/>
      <c r="V219" s="2"/>
      <c r="W219" s="2"/>
      <c r="X219" s="2"/>
      <c r="Y219" s="2"/>
    </row>
    <row r="220" spans="1:25" x14ac:dyDescent="0.2">
      <c r="A220" s="13"/>
      <c r="B220" s="13"/>
      <c r="C220" s="13"/>
      <c r="D220" s="13"/>
      <c r="E220" s="13"/>
      <c r="F220" s="13"/>
      <c r="G220" s="13"/>
      <c r="H220" s="13"/>
      <c r="I220" s="13"/>
      <c r="J220" s="13"/>
      <c r="K220" s="13"/>
      <c r="L220" s="13"/>
      <c r="M220" s="13"/>
      <c r="N220" s="13"/>
      <c r="O220" s="13"/>
      <c r="P220" s="13"/>
      <c r="Q220" s="2"/>
      <c r="R220" s="2"/>
      <c r="S220" s="2"/>
      <c r="T220" s="2"/>
      <c r="U220" s="14"/>
      <c r="V220" s="2"/>
      <c r="W220" s="2"/>
      <c r="X220" s="2"/>
      <c r="Y220" s="2"/>
    </row>
    <row r="221" spans="1:25" x14ac:dyDescent="0.2">
      <c r="A221" s="13"/>
      <c r="B221" s="13"/>
      <c r="C221" s="13"/>
      <c r="D221" s="13"/>
      <c r="E221" s="13"/>
      <c r="F221" s="13"/>
      <c r="G221" s="13"/>
      <c r="H221" s="13"/>
      <c r="I221" s="13"/>
      <c r="J221" s="13"/>
      <c r="K221" s="13"/>
      <c r="L221" s="13"/>
      <c r="M221" s="13"/>
      <c r="N221" s="13"/>
      <c r="O221" s="13"/>
      <c r="P221" s="13"/>
      <c r="Q221" s="2"/>
      <c r="R221" s="2"/>
      <c r="S221" s="2"/>
      <c r="T221" s="2"/>
      <c r="U221" s="14"/>
      <c r="V221" s="2"/>
      <c r="W221" s="2"/>
      <c r="X221" s="2"/>
      <c r="Y221" s="2"/>
    </row>
    <row r="222" spans="1:25" x14ac:dyDescent="0.2">
      <c r="A222" s="13"/>
      <c r="B222" s="13"/>
      <c r="C222" s="13"/>
      <c r="D222" s="13"/>
      <c r="E222" s="13"/>
      <c r="F222" s="13"/>
      <c r="G222" s="13"/>
      <c r="H222" s="13"/>
      <c r="I222" s="13"/>
      <c r="J222" s="13"/>
      <c r="K222" s="13"/>
      <c r="L222" s="13"/>
      <c r="M222" s="13"/>
      <c r="N222" s="13"/>
      <c r="O222" s="13"/>
      <c r="P222" s="13"/>
      <c r="Q222" s="2"/>
      <c r="R222" s="2"/>
      <c r="S222" s="2"/>
      <c r="T222" s="2"/>
      <c r="U222" s="14"/>
      <c r="V222" s="2"/>
      <c r="W222" s="2"/>
      <c r="X222" s="2"/>
      <c r="Y222" s="2"/>
    </row>
    <row r="223" spans="1:25" x14ac:dyDescent="0.2">
      <c r="A223" s="13"/>
      <c r="B223" s="13"/>
      <c r="C223" s="13"/>
      <c r="D223" s="13"/>
      <c r="E223" s="13"/>
      <c r="F223" s="13"/>
      <c r="G223" s="13"/>
      <c r="H223" s="13"/>
      <c r="I223" s="13"/>
      <c r="J223" s="13"/>
      <c r="K223" s="13"/>
      <c r="L223" s="13"/>
      <c r="M223" s="13"/>
      <c r="N223" s="13"/>
      <c r="O223" s="13"/>
      <c r="P223" s="13"/>
      <c r="Q223" s="2"/>
      <c r="R223" s="2"/>
      <c r="S223" s="2"/>
      <c r="T223" s="2"/>
      <c r="U223" s="14"/>
      <c r="V223" s="2"/>
      <c r="W223" s="2"/>
      <c r="X223" s="2"/>
      <c r="Y223" s="2"/>
    </row>
    <row r="224" spans="1:25" x14ac:dyDescent="0.2">
      <c r="A224" s="13"/>
      <c r="B224" s="13"/>
      <c r="C224" s="13"/>
      <c r="D224" s="13"/>
      <c r="E224" s="13"/>
      <c r="F224" s="13"/>
      <c r="G224" s="13"/>
      <c r="H224" s="13"/>
      <c r="I224" s="13"/>
      <c r="J224" s="13"/>
      <c r="K224" s="13"/>
      <c r="L224" s="13"/>
      <c r="M224" s="13"/>
      <c r="N224" s="13"/>
      <c r="O224" s="13"/>
      <c r="P224" s="13"/>
      <c r="Q224" s="2"/>
      <c r="R224" s="2"/>
      <c r="S224" s="2"/>
      <c r="T224" s="2"/>
      <c r="U224" s="14"/>
      <c r="V224" s="2"/>
      <c r="W224" s="2"/>
      <c r="X224" s="2"/>
      <c r="Y224" s="2"/>
    </row>
    <row r="225" spans="1:25" x14ac:dyDescent="0.2">
      <c r="A225" s="13"/>
      <c r="B225" s="13"/>
      <c r="C225" s="13"/>
      <c r="D225" s="13"/>
      <c r="E225" s="13"/>
      <c r="F225" s="13"/>
      <c r="G225" s="13"/>
      <c r="H225" s="13"/>
      <c r="I225" s="13"/>
      <c r="J225" s="13"/>
      <c r="K225" s="13"/>
      <c r="L225" s="13"/>
      <c r="M225" s="13"/>
      <c r="N225" s="13"/>
      <c r="O225" s="13"/>
      <c r="P225" s="13"/>
      <c r="Q225" s="2"/>
      <c r="R225" s="2"/>
      <c r="S225" s="2"/>
      <c r="T225" s="2"/>
      <c r="U225" s="14"/>
      <c r="V225" s="2"/>
      <c r="W225" s="2"/>
      <c r="X225" s="2"/>
      <c r="Y225" s="2"/>
    </row>
    <row r="226" spans="1:25" x14ac:dyDescent="0.2">
      <c r="A226" s="13"/>
      <c r="B226" s="13"/>
      <c r="C226" s="13"/>
      <c r="D226" s="13"/>
      <c r="E226" s="13"/>
      <c r="F226" s="13"/>
      <c r="G226" s="13"/>
      <c r="H226" s="13"/>
      <c r="I226" s="13"/>
      <c r="J226" s="13"/>
      <c r="K226" s="13"/>
      <c r="L226" s="13"/>
      <c r="M226" s="13"/>
      <c r="N226" s="13"/>
      <c r="O226" s="13"/>
      <c r="P226" s="13"/>
      <c r="Q226" s="2"/>
      <c r="R226" s="2"/>
      <c r="S226" s="2"/>
      <c r="T226" s="2"/>
      <c r="U226" s="14"/>
      <c r="V226" s="2"/>
      <c r="W226" s="2"/>
      <c r="X226" s="2"/>
      <c r="Y226" s="2"/>
    </row>
    <row r="227" spans="1:25" x14ac:dyDescent="0.2">
      <c r="A227" s="13"/>
      <c r="B227" s="13"/>
      <c r="C227" s="13"/>
      <c r="D227" s="13"/>
      <c r="E227" s="13"/>
      <c r="F227" s="13"/>
      <c r="G227" s="13"/>
      <c r="H227" s="13"/>
      <c r="I227" s="13"/>
      <c r="J227" s="13"/>
      <c r="K227" s="13"/>
      <c r="L227" s="13"/>
      <c r="M227" s="13"/>
      <c r="N227" s="13"/>
      <c r="O227" s="13"/>
      <c r="P227" s="13"/>
      <c r="Q227" s="2"/>
      <c r="R227" s="2"/>
      <c r="S227" s="2"/>
      <c r="T227" s="2"/>
      <c r="U227" s="14"/>
      <c r="V227" s="2"/>
      <c r="W227" s="2"/>
      <c r="X227" s="2"/>
      <c r="Y227" s="2"/>
    </row>
    <row r="228" spans="1:25" x14ac:dyDescent="0.2">
      <c r="A228" s="13"/>
      <c r="B228" s="13"/>
      <c r="C228" s="13"/>
      <c r="D228" s="13"/>
      <c r="E228" s="13"/>
      <c r="F228" s="13"/>
      <c r="G228" s="13"/>
      <c r="H228" s="13"/>
      <c r="I228" s="13"/>
      <c r="J228" s="13"/>
      <c r="K228" s="13"/>
      <c r="L228" s="13"/>
      <c r="M228" s="13"/>
      <c r="N228" s="13"/>
      <c r="O228" s="13"/>
      <c r="P228" s="13"/>
      <c r="Q228" s="2"/>
      <c r="R228" s="2"/>
      <c r="S228" s="2"/>
      <c r="T228" s="2"/>
      <c r="U228" s="14"/>
      <c r="V228" s="2"/>
      <c r="W228" s="2"/>
      <c r="X228" s="2"/>
      <c r="Y228" s="2"/>
    </row>
    <row r="229" spans="1:25" x14ac:dyDescent="0.2">
      <c r="A229" s="13"/>
      <c r="B229" s="13"/>
      <c r="C229" s="13"/>
      <c r="D229" s="13"/>
      <c r="E229" s="13"/>
      <c r="F229" s="13"/>
      <c r="G229" s="13"/>
      <c r="H229" s="13"/>
      <c r="I229" s="13"/>
      <c r="J229" s="13"/>
      <c r="K229" s="13"/>
      <c r="L229" s="13"/>
      <c r="M229" s="13"/>
      <c r="N229" s="13"/>
      <c r="O229" s="13"/>
      <c r="P229" s="13"/>
      <c r="Q229" s="2"/>
      <c r="R229" s="2"/>
      <c r="S229" s="2"/>
      <c r="T229" s="2"/>
      <c r="U229" s="14"/>
      <c r="V229" s="2"/>
      <c r="W229" s="2"/>
      <c r="X229" s="2"/>
      <c r="Y229" s="2"/>
    </row>
    <row r="230" spans="1:25" x14ac:dyDescent="0.2">
      <c r="A230" s="13"/>
      <c r="B230" s="13"/>
      <c r="C230" s="13"/>
      <c r="D230" s="13"/>
      <c r="E230" s="13"/>
      <c r="F230" s="13"/>
      <c r="G230" s="13"/>
      <c r="H230" s="13"/>
      <c r="I230" s="13"/>
      <c r="J230" s="13"/>
      <c r="K230" s="13"/>
      <c r="L230" s="13"/>
      <c r="M230" s="13"/>
      <c r="N230" s="13"/>
      <c r="O230" s="13"/>
      <c r="P230" s="13"/>
      <c r="Q230" s="2"/>
      <c r="R230" s="2"/>
      <c r="S230" s="2"/>
      <c r="T230" s="2"/>
      <c r="U230" s="14"/>
      <c r="V230" s="2"/>
      <c r="W230" s="2"/>
      <c r="X230" s="2"/>
      <c r="Y230" s="2"/>
    </row>
    <row r="231" spans="1:25" x14ac:dyDescent="0.2">
      <c r="A231" s="13"/>
      <c r="B231" s="13"/>
      <c r="C231" s="13"/>
      <c r="D231" s="13"/>
      <c r="E231" s="13"/>
      <c r="F231" s="13"/>
      <c r="G231" s="13"/>
      <c r="H231" s="13"/>
      <c r="I231" s="13"/>
      <c r="J231" s="13"/>
      <c r="K231" s="13"/>
      <c r="L231" s="13"/>
      <c r="M231" s="13"/>
      <c r="N231" s="13"/>
      <c r="O231" s="13"/>
      <c r="P231" s="13"/>
      <c r="Q231" s="2"/>
      <c r="R231" s="2"/>
      <c r="S231" s="2"/>
      <c r="T231" s="2"/>
      <c r="U231" s="14"/>
      <c r="V231" s="2"/>
      <c r="W231" s="2"/>
      <c r="X231" s="2"/>
      <c r="Y231" s="2"/>
    </row>
    <row r="232" spans="1:25" x14ac:dyDescent="0.2">
      <c r="A232" s="13"/>
      <c r="B232" s="13"/>
      <c r="C232" s="13"/>
      <c r="D232" s="13"/>
      <c r="E232" s="13"/>
      <c r="F232" s="13"/>
      <c r="G232" s="13"/>
      <c r="H232" s="13"/>
      <c r="I232" s="13"/>
      <c r="J232" s="13"/>
      <c r="K232" s="13"/>
      <c r="L232" s="13"/>
      <c r="M232" s="13"/>
      <c r="N232" s="13"/>
      <c r="O232" s="13"/>
      <c r="P232" s="13"/>
      <c r="Q232" s="2"/>
      <c r="R232" s="2"/>
      <c r="S232" s="2"/>
      <c r="T232" s="2"/>
      <c r="U232" s="14"/>
      <c r="V232" s="2"/>
      <c r="W232" s="2"/>
      <c r="X232" s="2"/>
      <c r="Y232" s="2"/>
    </row>
    <row r="233" spans="1:25" x14ac:dyDescent="0.2">
      <c r="A233" s="13"/>
      <c r="B233" s="13"/>
      <c r="C233" s="13"/>
      <c r="D233" s="13"/>
      <c r="E233" s="13"/>
      <c r="F233" s="13"/>
      <c r="G233" s="13"/>
      <c r="H233" s="13"/>
      <c r="I233" s="13"/>
      <c r="J233" s="13"/>
      <c r="K233" s="13"/>
      <c r="L233" s="13"/>
      <c r="M233" s="13"/>
      <c r="N233" s="13"/>
      <c r="O233" s="13"/>
      <c r="P233" s="13"/>
      <c r="Q233" s="2"/>
      <c r="R233" s="2"/>
      <c r="S233" s="2"/>
      <c r="T233" s="2"/>
      <c r="U233" s="14"/>
      <c r="V233" s="2"/>
      <c r="W233" s="2"/>
      <c r="X233" s="2"/>
      <c r="Y233" s="2"/>
    </row>
    <row r="234" spans="1:25" x14ac:dyDescent="0.2">
      <c r="A234" s="13"/>
      <c r="B234" s="13"/>
      <c r="C234" s="13"/>
      <c r="D234" s="13"/>
      <c r="E234" s="13"/>
      <c r="F234" s="13"/>
      <c r="G234" s="13"/>
      <c r="H234" s="13"/>
      <c r="I234" s="13"/>
      <c r="J234" s="13"/>
      <c r="K234" s="13"/>
      <c r="L234" s="13"/>
      <c r="M234" s="13"/>
      <c r="N234" s="13"/>
      <c r="O234" s="13"/>
      <c r="P234" s="13"/>
      <c r="Q234" s="2"/>
      <c r="R234" s="2"/>
      <c r="S234" s="2"/>
      <c r="T234" s="2"/>
      <c r="U234" s="14"/>
      <c r="V234" s="2"/>
      <c r="W234" s="2"/>
      <c r="X234" s="2"/>
      <c r="Y234" s="2"/>
    </row>
    <row r="235" spans="1:25" x14ac:dyDescent="0.2">
      <c r="A235" s="13"/>
      <c r="B235" s="13"/>
      <c r="C235" s="13"/>
      <c r="D235" s="13"/>
      <c r="E235" s="13"/>
      <c r="F235" s="13"/>
      <c r="G235" s="13"/>
      <c r="H235" s="13"/>
      <c r="I235" s="13"/>
      <c r="J235" s="13"/>
      <c r="K235" s="13"/>
      <c r="L235" s="13"/>
      <c r="M235" s="13"/>
      <c r="N235" s="13"/>
      <c r="O235" s="13"/>
      <c r="P235" s="13"/>
      <c r="Q235" s="2"/>
      <c r="R235" s="2"/>
      <c r="S235" s="2"/>
      <c r="T235" s="2"/>
      <c r="U235" s="14"/>
      <c r="V235" s="2"/>
      <c r="W235" s="2"/>
      <c r="X235" s="2"/>
      <c r="Y235" s="2"/>
    </row>
    <row r="236" spans="1:25" x14ac:dyDescent="0.2">
      <c r="A236" s="13"/>
      <c r="B236" s="13"/>
      <c r="C236" s="13"/>
      <c r="D236" s="13"/>
      <c r="E236" s="13"/>
      <c r="F236" s="13"/>
      <c r="G236" s="13"/>
      <c r="H236" s="13"/>
      <c r="I236" s="13"/>
      <c r="J236" s="13"/>
      <c r="K236" s="13"/>
      <c r="L236" s="13"/>
      <c r="M236" s="13"/>
      <c r="N236" s="13"/>
      <c r="O236" s="13"/>
      <c r="P236" s="13"/>
      <c r="Q236" s="2"/>
      <c r="R236" s="2"/>
      <c r="S236" s="2"/>
      <c r="T236" s="2"/>
      <c r="U236" s="14"/>
      <c r="V236" s="2"/>
      <c r="W236" s="2"/>
      <c r="X236" s="2"/>
      <c r="Y236" s="2"/>
    </row>
    <row r="237" spans="1:25" x14ac:dyDescent="0.2">
      <c r="A237" s="13"/>
      <c r="B237" s="13"/>
      <c r="C237" s="13"/>
      <c r="D237" s="13"/>
      <c r="E237" s="13"/>
      <c r="F237" s="13"/>
      <c r="G237" s="13"/>
      <c r="H237" s="13"/>
      <c r="I237" s="13"/>
      <c r="J237" s="13"/>
      <c r="K237" s="13"/>
      <c r="L237" s="13"/>
      <c r="M237" s="13"/>
      <c r="N237" s="13"/>
      <c r="O237" s="13"/>
      <c r="P237" s="13"/>
      <c r="Q237" s="2"/>
      <c r="R237" s="2"/>
      <c r="S237" s="2"/>
      <c r="T237" s="2"/>
      <c r="U237" s="14"/>
      <c r="V237" s="2"/>
      <c r="W237" s="2"/>
      <c r="X237" s="2"/>
      <c r="Y237" s="2"/>
    </row>
    <row r="238" spans="1:25" x14ac:dyDescent="0.2">
      <c r="A238" s="13"/>
      <c r="B238" s="13"/>
      <c r="C238" s="13"/>
      <c r="D238" s="13"/>
      <c r="E238" s="13"/>
      <c r="F238" s="13"/>
      <c r="G238" s="13"/>
      <c r="H238" s="13"/>
      <c r="I238" s="13"/>
      <c r="J238" s="13"/>
      <c r="K238" s="13"/>
      <c r="L238" s="13"/>
      <c r="M238" s="13"/>
      <c r="N238" s="13"/>
      <c r="O238" s="13"/>
      <c r="P238" s="13"/>
      <c r="Q238" s="2"/>
      <c r="R238" s="2"/>
      <c r="S238" s="2"/>
      <c r="T238" s="2"/>
      <c r="U238" s="14"/>
      <c r="V238" s="2"/>
      <c r="W238" s="2"/>
      <c r="X238" s="2"/>
      <c r="Y238" s="2"/>
    </row>
    <row r="239" spans="1:25" x14ac:dyDescent="0.2">
      <c r="A239" s="13"/>
      <c r="B239" s="13"/>
      <c r="C239" s="13"/>
      <c r="D239" s="13"/>
      <c r="E239" s="13"/>
      <c r="F239" s="13"/>
      <c r="G239" s="13"/>
      <c r="H239" s="13"/>
      <c r="I239" s="13"/>
      <c r="J239" s="13"/>
      <c r="K239" s="13"/>
      <c r="L239" s="13"/>
      <c r="M239" s="13"/>
      <c r="N239" s="13"/>
      <c r="O239" s="13"/>
      <c r="P239" s="13"/>
      <c r="Q239" s="2"/>
      <c r="R239" s="2"/>
      <c r="S239" s="2"/>
      <c r="T239" s="2"/>
      <c r="U239" s="14"/>
      <c r="V239" s="2"/>
      <c r="W239" s="2"/>
      <c r="X239" s="2"/>
      <c r="Y239" s="2"/>
    </row>
    <row r="240" spans="1:25" x14ac:dyDescent="0.2">
      <c r="A240" s="13"/>
      <c r="B240" s="13"/>
      <c r="C240" s="13"/>
      <c r="D240" s="13"/>
      <c r="E240" s="13"/>
      <c r="F240" s="13"/>
      <c r="G240" s="13"/>
      <c r="H240" s="13"/>
      <c r="I240" s="13"/>
      <c r="J240" s="13"/>
      <c r="K240" s="13"/>
      <c r="L240" s="13"/>
      <c r="M240" s="13"/>
      <c r="N240" s="13"/>
      <c r="O240" s="13"/>
      <c r="P240" s="13"/>
      <c r="Q240" s="2"/>
      <c r="R240" s="2"/>
      <c r="S240" s="2"/>
      <c r="T240" s="2"/>
      <c r="U240" s="14"/>
      <c r="V240" s="2"/>
      <c r="W240" s="2"/>
      <c r="X240" s="2"/>
      <c r="Y240" s="2"/>
    </row>
    <row r="241" spans="1:25" x14ac:dyDescent="0.2">
      <c r="A241" s="13"/>
      <c r="B241" s="13"/>
      <c r="C241" s="13"/>
      <c r="D241" s="13"/>
      <c r="E241" s="13"/>
      <c r="F241" s="13"/>
      <c r="G241" s="13"/>
      <c r="H241" s="13"/>
      <c r="I241" s="13"/>
      <c r="J241" s="13"/>
      <c r="K241" s="13"/>
      <c r="L241" s="13"/>
      <c r="M241" s="13"/>
      <c r="N241" s="13"/>
      <c r="O241" s="13"/>
      <c r="P241" s="13"/>
      <c r="Q241" s="2"/>
      <c r="R241" s="2"/>
      <c r="S241" s="2"/>
      <c r="T241" s="2"/>
      <c r="U241" s="14"/>
      <c r="V241" s="2"/>
      <c r="W241" s="2"/>
      <c r="X241" s="2"/>
      <c r="Y241" s="2"/>
    </row>
    <row r="242" spans="1:25" x14ac:dyDescent="0.2">
      <c r="A242" s="13"/>
      <c r="B242" s="13"/>
      <c r="C242" s="13"/>
      <c r="D242" s="13"/>
      <c r="E242" s="13"/>
      <c r="F242" s="13"/>
      <c r="G242" s="13"/>
      <c r="H242" s="13"/>
      <c r="I242" s="13"/>
      <c r="J242" s="13"/>
      <c r="K242" s="13"/>
      <c r="L242" s="13"/>
      <c r="M242" s="13"/>
      <c r="N242" s="13"/>
      <c r="O242" s="13"/>
      <c r="P242" s="13"/>
      <c r="Q242" s="2"/>
      <c r="R242" s="2"/>
      <c r="S242" s="2"/>
      <c r="T242" s="2"/>
      <c r="U242" s="14"/>
      <c r="V242" s="2"/>
      <c r="W242" s="2"/>
      <c r="X242" s="2"/>
      <c r="Y242" s="2"/>
    </row>
    <row r="243" spans="1:25" x14ac:dyDescent="0.2">
      <c r="A243" s="13"/>
      <c r="B243" s="13"/>
      <c r="C243" s="13"/>
      <c r="D243" s="13"/>
      <c r="E243" s="13"/>
      <c r="F243" s="13"/>
      <c r="G243" s="13"/>
      <c r="H243" s="13"/>
      <c r="I243" s="13"/>
      <c r="J243" s="13"/>
      <c r="K243" s="13"/>
      <c r="L243" s="13"/>
      <c r="M243" s="13"/>
      <c r="N243" s="13"/>
      <c r="O243" s="13"/>
      <c r="P243" s="13"/>
      <c r="Q243" s="2"/>
      <c r="R243" s="2"/>
      <c r="S243" s="2"/>
      <c r="T243" s="2"/>
      <c r="U243" s="14"/>
      <c r="V243" s="2"/>
      <c r="W243" s="2"/>
      <c r="X243" s="2"/>
      <c r="Y243" s="2"/>
    </row>
    <row r="244" spans="1:25" x14ac:dyDescent="0.2">
      <c r="A244" s="13"/>
      <c r="B244" s="13"/>
      <c r="C244" s="13"/>
      <c r="D244" s="13"/>
      <c r="E244" s="13"/>
      <c r="F244" s="13"/>
      <c r="G244" s="13"/>
      <c r="H244" s="13"/>
      <c r="I244" s="13"/>
      <c r="J244" s="13"/>
      <c r="K244" s="13"/>
      <c r="L244" s="13"/>
      <c r="M244" s="13"/>
      <c r="N244" s="13"/>
      <c r="O244" s="13"/>
      <c r="P244" s="13"/>
      <c r="Q244" s="2"/>
      <c r="R244" s="2"/>
      <c r="S244" s="2"/>
      <c r="T244" s="2"/>
      <c r="U244" s="14"/>
      <c r="V244" s="2"/>
      <c r="W244" s="2"/>
      <c r="X244" s="2"/>
      <c r="Y244" s="2"/>
    </row>
    <row r="245" spans="1:25" x14ac:dyDescent="0.2">
      <c r="A245" s="13"/>
      <c r="B245" s="13"/>
      <c r="C245" s="13"/>
      <c r="D245" s="13"/>
      <c r="E245" s="13"/>
      <c r="F245" s="13"/>
      <c r="G245" s="13"/>
      <c r="H245" s="13"/>
      <c r="I245" s="13"/>
      <c r="J245" s="13"/>
      <c r="K245" s="13"/>
      <c r="L245" s="13"/>
      <c r="M245" s="13"/>
      <c r="N245" s="13"/>
      <c r="O245" s="13"/>
      <c r="P245" s="13"/>
      <c r="Q245" s="2"/>
      <c r="R245" s="2"/>
      <c r="S245" s="2"/>
      <c r="T245" s="2"/>
      <c r="U245" s="14"/>
      <c r="V245" s="2"/>
      <c r="W245" s="2"/>
      <c r="X245" s="2"/>
      <c r="Y245" s="2"/>
    </row>
    <row r="246" spans="1:25" x14ac:dyDescent="0.2">
      <c r="A246" s="13"/>
      <c r="B246" s="13"/>
      <c r="C246" s="13"/>
      <c r="D246" s="13"/>
      <c r="E246" s="13"/>
      <c r="F246" s="13"/>
      <c r="G246" s="13"/>
      <c r="H246" s="13"/>
      <c r="I246" s="13"/>
      <c r="J246" s="13"/>
      <c r="K246" s="13"/>
      <c r="L246" s="13"/>
      <c r="M246" s="13"/>
      <c r="N246" s="13"/>
      <c r="O246" s="13"/>
      <c r="P246" s="13"/>
      <c r="Q246" s="2"/>
      <c r="R246" s="2"/>
      <c r="S246" s="2"/>
      <c r="T246" s="2"/>
      <c r="U246" s="14"/>
      <c r="V246" s="2"/>
      <c r="W246" s="2"/>
      <c r="X246" s="2"/>
      <c r="Y246" s="2"/>
    </row>
    <row r="247" spans="1:25" x14ac:dyDescent="0.2">
      <c r="A247" s="13"/>
      <c r="B247" s="13"/>
      <c r="C247" s="13"/>
      <c r="D247" s="13"/>
      <c r="E247" s="13"/>
      <c r="F247" s="13"/>
      <c r="G247" s="13"/>
      <c r="H247" s="13"/>
      <c r="I247" s="13"/>
      <c r="J247" s="13"/>
      <c r="K247" s="13"/>
      <c r="L247" s="13"/>
      <c r="M247" s="13"/>
      <c r="N247" s="13"/>
      <c r="O247" s="13"/>
      <c r="P247" s="13"/>
      <c r="Q247" s="2"/>
      <c r="R247" s="2"/>
      <c r="S247" s="2"/>
      <c r="T247" s="2"/>
      <c r="U247" s="14"/>
      <c r="V247" s="2"/>
      <c r="W247" s="2"/>
      <c r="X247" s="2"/>
      <c r="Y247" s="2"/>
    </row>
    <row r="248" spans="1:25" x14ac:dyDescent="0.2">
      <c r="A248" s="13"/>
      <c r="B248" s="13"/>
      <c r="C248" s="13"/>
      <c r="D248" s="13"/>
      <c r="E248" s="13"/>
      <c r="F248" s="13"/>
      <c r="G248" s="13"/>
      <c r="H248" s="13"/>
      <c r="I248" s="13"/>
      <c r="J248" s="13"/>
      <c r="K248" s="13"/>
      <c r="L248" s="13"/>
      <c r="M248" s="13"/>
      <c r="N248" s="13"/>
      <c r="O248" s="13"/>
      <c r="P248" s="13"/>
      <c r="Q248" s="2"/>
      <c r="R248" s="2"/>
      <c r="S248" s="2"/>
      <c r="T248" s="2"/>
      <c r="U248" s="14"/>
      <c r="V248" s="2"/>
      <c r="W248" s="2"/>
      <c r="X248" s="2"/>
      <c r="Y248" s="2"/>
    </row>
    <row r="249" spans="1:25" x14ac:dyDescent="0.2">
      <c r="A249" s="13"/>
      <c r="B249" s="13"/>
      <c r="C249" s="13"/>
      <c r="D249" s="13"/>
      <c r="E249" s="13"/>
      <c r="F249" s="13"/>
      <c r="G249" s="13"/>
      <c r="H249" s="13"/>
      <c r="I249" s="13"/>
      <c r="J249" s="13"/>
      <c r="K249" s="13"/>
      <c r="L249" s="13"/>
      <c r="M249" s="13"/>
      <c r="N249" s="13"/>
      <c r="O249" s="13"/>
      <c r="P249" s="13"/>
      <c r="Q249" s="2"/>
      <c r="R249" s="2"/>
      <c r="S249" s="2"/>
      <c r="T249" s="2"/>
      <c r="U249" s="14"/>
      <c r="V249" s="2"/>
      <c r="W249" s="2"/>
      <c r="X249" s="2"/>
      <c r="Y249" s="2"/>
    </row>
    <row r="250" spans="1:25" x14ac:dyDescent="0.2">
      <c r="A250" s="13"/>
      <c r="B250" s="13"/>
      <c r="C250" s="13"/>
      <c r="D250" s="13"/>
      <c r="E250" s="13"/>
      <c r="F250" s="13"/>
      <c r="G250" s="13"/>
      <c r="H250" s="13"/>
      <c r="I250" s="13"/>
      <c r="J250" s="13"/>
      <c r="K250" s="13"/>
      <c r="L250" s="13"/>
      <c r="M250" s="13"/>
      <c r="N250" s="13"/>
      <c r="O250" s="13"/>
      <c r="P250" s="13"/>
      <c r="Q250" s="2"/>
      <c r="R250" s="2"/>
      <c r="S250" s="2"/>
      <c r="T250" s="2"/>
      <c r="U250" s="14"/>
      <c r="V250" s="2"/>
      <c r="W250" s="2"/>
      <c r="X250" s="2"/>
      <c r="Y250" s="2"/>
    </row>
    <row r="251" spans="1:25" x14ac:dyDescent="0.2">
      <c r="A251" s="13"/>
      <c r="B251" s="13"/>
      <c r="C251" s="13"/>
      <c r="D251" s="13"/>
      <c r="E251" s="13"/>
      <c r="F251" s="13"/>
      <c r="G251" s="13"/>
      <c r="H251" s="13"/>
      <c r="I251" s="13"/>
      <c r="J251" s="13"/>
      <c r="K251" s="13"/>
      <c r="L251" s="13"/>
      <c r="M251" s="13"/>
      <c r="N251" s="13"/>
      <c r="O251" s="13"/>
      <c r="P251" s="13"/>
      <c r="Q251" s="2"/>
      <c r="R251" s="2"/>
      <c r="S251" s="2"/>
      <c r="T251" s="2"/>
      <c r="U251" s="14"/>
      <c r="V251" s="2"/>
      <c r="W251" s="2"/>
      <c r="X251" s="2"/>
      <c r="Y251" s="2"/>
    </row>
    <row r="252" spans="1:25" x14ac:dyDescent="0.2">
      <c r="A252" s="13"/>
      <c r="B252" s="13"/>
      <c r="C252" s="13"/>
      <c r="D252" s="13"/>
      <c r="E252" s="13"/>
      <c r="F252" s="13"/>
      <c r="G252" s="13"/>
      <c r="H252" s="13"/>
      <c r="I252" s="13"/>
      <c r="J252" s="13"/>
      <c r="K252" s="13"/>
      <c r="L252" s="13"/>
      <c r="M252" s="13"/>
      <c r="N252" s="13"/>
      <c r="O252" s="13"/>
      <c r="P252" s="13"/>
      <c r="Q252" s="2"/>
      <c r="R252" s="2"/>
      <c r="S252" s="2"/>
      <c r="T252" s="2"/>
      <c r="U252" s="14"/>
      <c r="V252" s="2"/>
      <c r="W252" s="2"/>
      <c r="X252" s="2"/>
      <c r="Y252" s="2"/>
    </row>
    <row r="253" spans="1:25" x14ac:dyDescent="0.2">
      <c r="A253" s="13"/>
      <c r="B253" s="13"/>
      <c r="C253" s="13"/>
      <c r="D253" s="13"/>
      <c r="E253" s="13"/>
      <c r="F253" s="13"/>
      <c r="G253" s="13"/>
      <c r="H253" s="13"/>
      <c r="I253" s="13"/>
      <c r="J253" s="13"/>
      <c r="K253" s="13"/>
      <c r="L253" s="13"/>
      <c r="M253" s="13"/>
      <c r="N253" s="13"/>
      <c r="O253" s="13"/>
      <c r="P253" s="13"/>
      <c r="Q253" s="2"/>
      <c r="R253" s="2"/>
      <c r="S253" s="2"/>
      <c r="T253" s="2"/>
      <c r="U253" s="14"/>
      <c r="V253" s="2"/>
      <c r="W253" s="2"/>
      <c r="X253" s="2"/>
      <c r="Y253" s="2"/>
    </row>
    <row r="254" spans="1:25" x14ac:dyDescent="0.2">
      <c r="A254" s="13"/>
      <c r="B254" s="13"/>
      <c r="C254" s="13"/>
      <c r="D254" s="13"/>
      <c r="E254" s="13"/>
      <c r="F254" s="13"/>
      <c r="G254" s="13"/>
      <c r="H254" s="13"/>
      <c r="I254" s="13"/>
      <c r="J254" s="13"/>
      <c r="K254" s="13"/>
      <c r="L254" s="13"/>
      <c r="M254" s="13"/>
      <c r="N254" s="13"/>
      <c r="O254" s="13"/>
      <c r="P254" s="13"/>
      <c r="Q254" s="2"/>
      <c r="R254" s="2"/>
      <c r="S254" s="2"/>
      <c r="T254" s="2"/>
      <c r="U254" s="14"/>
      <c r="V254" s="2"/>
      <c r="W254" s="2"/>
      <c r="X254" s="2"/>
      <c r="Y254" s="2"/>
    </row>
    <row r="255" spans="1:25" x14ac:dyDescent="0.2">
      <c r="A255" s="13"/>
      <c r="B255" s="13"/>
      <c r="C255" s="13"/>
      <c r="D255" s="13"/>
      <c r="E255" s="13"/>
      <c r="F255" s="13"/>
      <c r="G255" s="13"/>
      <c r="H255" s="13"/>
      <c r="I255" s="13"/>
      <c r="J255" s="13"/>
      <c r="K255" s="13"/>
      <c r="L255" s="13"/>
      <c r="M255" s="13"/>
      <c r="N255" s="13"/>
      <c r="O255" s="13"/>
      <c r="P255" s="13"/>
      <c r="Q255" s="2"/>
      <c r="R255" s="2"/>
      <c r="S255" s="2"/>
      <c r="T255" s="2"/>
      <c r="U255" s="14"/>
      <c r="V255" s="2"/>
      <c r="W255" s="2"/>
      <c r="X255" s="2"/>
      <c r="Y255" s="2"/>
    </row>
    <row r="256" spans="1:25" x14ac:dyDescent="0.2">
      <c r="A256" s="13"/>
      <c r="B256" s="13"/>
      <c r="C256" s="13"/>
      <c r="D256" s="13"/>
      <c r="E256" s="13"/>
      <c r="F256" s="13"/>
      <c r="G256" s="13"/>
      <c r="H256" s="13"/>
      <c r="I256" s="13"/>
      <c r="J256" s="13"/>
      <c r="K256" s="13"/>
      <c r="L256" s="13"/>
      <c r="M256" s="13"/>
      <c r="N256" s="13"/>
      <c r="O256" s="13"/>
      <c r="P256" s="13"/>
      <c r="Q256" s="2"/>
      <c r="R256" s="2"/>
      <c r="S256" s="2"/>
      <c r="T256" s="2"/>
      <c r="U256" s="14"/>
      <c r="V256" s="2"/>
      <c r="W256" s="2"/>
      <c r="X256" s="2"/>
      <c r="Y256" s="2"/>
    </row>
    <row r="257" spans="1:25" x14ac:dyDescent="0.2">
      <c r="A257" s="13"/>
      <c r="B257" s="13"/>
      <c r="C257" s="13"/>
      <c r="D257" s="13"/>
      <c r="E257" s="13"/>
      <c r="F257" s="13"/>
      <c r="G257" s="13"/>
      <c r="H257" s="13"/>
      <c r="I257" s="13"/>
      <c r="J257" s="13"/>
      <c r="K257" s="13"/>
      <c r="L257" s="13"/>
      <c r="M257" s="13"/>
      <c r="N257" s="13"/>
      <c r="O257" s="13"/>
      <c r="P257" s="13"/>
      <c r="Q257" s="2"/>
      <c r="R257" s="2"/>
      <c r="S257" s="2"/>
      <c r="T257" s="2"/>
      <c r="U257" s="14"/>
      <c r="V257" s="2"/>
      <c r="W257" s="2"/>
      <c r="X257" s="2"/>
      <c r="Y257" s="2"/>
    </row>
  </sheetData>
  <sheetProtection password="B75F" sheet="1" objects="1" scenarios="1" selectLockedCells="1"/>
  <mergeCells count="29">
    <mergeCell ref="A70:Z70"/>
    <mergeCell ref="Q69:U69"/>
    <mergeCell ref="T8:U8"/>
    <mergeCell ref="T10:U10"/>
    <mergeCell ref="Z27:Z46"/>
    <mergeCell ref="A69:P69"/>
    <mergeCell ref="O8:S8"/>
    <mergeCell ref="E63:N63"/>
    <mergeCell ref="T64:T65"/>
    <mergeCell ref="U64:U65"/>
    <mergeCell ref="V64:V65"/>
    <mergeCell ref="Z64:Z65"/>
    <mergeCell ref="E64:M65"/>
    <mergeCell ref="X64:X65"/>
    <mergeCell ref="E48:N48"/>
    <mergeCell ref="A4:A7"/>
    <mergeCell ref="O4:S4"/>
    <mergeCell ref="O6:S6"/>
    <mergeCell ref="A64:A65"/>
    <mergeCell ref="B64:B65"/>
    <mergeCell ref="C64:C65"/>
    <mergeCell ref="D64:D65"/>
    <mergeCell ref="Q64:Q65"/>
    <mergeCell ref="R64:R65"/>
    <mergeCell ref="S64:S65"/>
    <mergeCell ref="E54:N54"/>
    <mergeCell ref="O10:S10"/>
    <mergeCell ref="A8:A10"/>
    <mergeCell ref="E4:K10"/>
  </mergeCells>
  <dataValidations xWindow="1324" yWindow="887" count="23">
    <dataValidation type="decimal" allowBlank="1" showInputMessage="1" showErrorMessage="1" errorTitle="Equipment Capacity" error="Equipment capacity must be between 5.5 tons and 11.3 tons" sqref="D32:D34" xr:uid="{00000000-0002-0000-0000-000000000000}">
      <formula1>5.49</formula1>
      <formula2>11.31</formula2>
    </dataValidation>
    <dataValidation type="decimal" allowBlank="1" showInputMessage="1" showErrorMessage="1" errorTitle="Equipment Capacity" error="Equipment capacity must be between 11.4 tons and 20 tons." sqref="D35:D38" xr:uid="{00000000-0002-0000-0000-000001000000}">
      <formula1>11.31</formula1>
      <formula2>20.1</formula2>
    </dataValidation>
    <dataValidation type="decimal" allowBlank="1" showInputMessage="1" showErrorMessage="1" errorTitle="Measure Efficiency Error" error="Minimum Efficiency value of 92%" sqref="F21:F24 F15:F19" xr:uid="{00000000-0002-0000-0000-000002000000}">
      <formula1>0.92</formula1>
      <formula2>1</formula2>
    </dataValidation>
    <dataValidation type="decimal" operator="lessThanOrEqual" allowBlank="1" showInputMessage="1" showErrorMessage="1" errorTitle="Equipment Capacity Error" error="Equipment capacity must be 225  million btuh or less" sqref="D21:D24" xr:uid="{00000000-0002-0000-0000-000003000000}">
      <formula1>225</formula1>
    </dataValidation>
    <dataValidation type="decimal" operator="greaterThanOrEqual" allowBlank="1" showInputMessage="1" showErrorMessage="1" errorTitle="Equipment Efficiency Error" error="Equipment efficiency must be 17.0 SEER or greater" sqref="F28:F30" xr:uid="{00000000-0002-0000-0000-000004000000}">
      <formula1>17</formula1>
    </dataValidation>
    <dataValidation type="decimal" operator="greaterThanOrEqual" allowBlank="1" showInputMessage="1" showErrorMessage="1" errorTitle="Equipment Efficiency Error" error="Equipment efficiency must be 12.0 EER or greater" sqref="F31:F38" xr:uid="{00000000-0002-0000-0000-000005000000}">
      <formula1>12</formula1>
    </dataValidation>
    <dataValidation type="decimal" operator="greaterThanOrEqual" allowBlank="1" showInputMessage="1" showErrorMessage="1" errorTitle="Equipment Efficiency Error" error="Equipment efficiency must be 15.0 EER or greater" sqref="F39:F42" xr:uid="{00000000-0002-0000-0000-000006000000}">
      <formula1>15</formula1>
    </dataValidation>
    <dataValidation type="decimal" operator="lessThan" allowBlank="1" showErrorMessage="1" errorTitle="Equipment Capacity" error="Equipment capacity must be less than 5.4 tons" sqref="D28:D30 D27" xr:uid="{00000000-0002-0000-0000-000007000000}">
      <formula1>5.41</formula1>
    </dataValidation>
    <dataValidation type="decimal" operator="lessThan" allowBlank="1" showInputMessage="1" showErrorMessage="1" errorTitle="Equipment Capacity" error="Equipment capacity must be less than or equal to 5.4 tons." sqref="D39:D42" xr:uid="{00000000-0002-0000-0000-000008000000}">
      <formula1>5.41</formula1>
    </dataValidation>
    <dataValidation type="whole" allowBlank="1" showInputMessage="1" showErrorMessage="1" errorTitle="# of Units Rebated" error="Value entered must be a whole number." sqref="B58:B61 B64 B21:B24 B15:B19 B27:B46 B49:B52 B55:B56" xr:uid="{00000000-0002-0000-0000-000009000000}">
      <formula1>1</formula1>
      <formula2>10000</formula2>
    </dataValidation>
    <dataValidation allowBlank="1" showErrorMessage="1" sqref="M15:M19 M21:M24 M58:M61 M27:M46 M49:M52 M55" xr:uid="{00000000-0002-0000-0000-00000A000000}"/>
    <dataValidation type="list" allowBlank="1" showInputMessage="1" showErrorMessage="1" sqref="H15:H19 H21:H24 H27:H46 H55 L68 H68" xr:uid="{00000000-0002-0000-0000-00000B000000}">
      <formula1>"Yes, No"</formula1>
    </dataValidation>
    <dataValidation type="whole" allowBlank="1" showInputMessage="1" showErrorMessage="1" promptTitle="Building Floor Space" prompt="Enter the total conditioned building floor space that will be served by the cooling/heating equipment controlled by the programmable thermostat." sqref="D64" xr:uid="{00000000-0002-0000-0000-00000C000000}">
      <formula1>0</formula1>
      <formula2>100000000</formula2>
    </dataValidation>
    <dataValidation type="whole" allowBlank="1" showInputMessage="1" showErrorMessage="1" promptTitle="Base Equipment Install Date" prompt="Enter the year in which the existing equipment was installed (e.g. 1998).  If not clear, provide your best estimate." sqref="L27:L46 L49:L52 L21:L24 L15:L19 L55" xr:uid="{00000000-0002-0000-0000-00000D000000}">
      <formula1>1920</formula1>
      <formula2>2016</formula2>
    </dataValidation>
    <dataValidation type="decimal" operator="lessThan" allowBlank="1" showInputMessage="1" showErrorMessage="1" promptTitle="Base Equipment Efficiency" prompt="Enter nameplate efficiency rating (%) of equipment being replaced.  If unknown, leave blank and calculator will estimate the baseline efficiency based on its install date." sqref="I21:I24 I15:I19" xr:uid="{00000000-0002-0000-0000-00000E000000}">
      <formula1>1</formula1>
    </dataValidation>
    <dataValidation allowBlank="1" showInputMessage="1" showErrorMessage="1" promptTitle="Base Equipment Efficiency" prompt="Enter nameplate equipment efficiency (SEER) of equipment being replaced.  If unknown, leave blank and calculator will estimate the baseline efficiency based on its install date." sqref="I27:I46 I55" xr:uid="{00000000-0002-0000-0000-00000F000000}"/>
    <dataValidation type="decimal" operator="greaterThanOrEqual" allowBlank="1" showInputMessage="1" showErrorMessage="1" errorTitle="Equipment Efficiency Error" error="Equipment efficiency must be 15.0 SEER or greater" sqref="F43:F46" xr:uid="{00000000-0002-0000-0000-000010000000}">
      <formula1>15</formula1>
    </dataValidation>
    <dataValidation type="list" allowBlank="1" showInputMessage="1" showErrorMessage="1" errorTitle="Measure Efficiency Error" error="Minimum Efficiency value of 92%" promptTitle="Air Side Economizer" prompt="Does the new, efficient RTU equipment include an air side economizer? (Yes/No)" sqref="G27:G46 G49:G52" xr:uid="{00000000-0002-0000-0000-000011000000}">
      <formula1>"Yes, No"</formula1>
    </dataValidation>
    <dataValidation allowBlank="1" showInputMessage="1" showErrorMessage="1" promptTitle="Evaporative Cooling Capacity" prompt="Enter the CFM rating of the installed evaporative cooler" sqref="U55" xr:uid="{00000000-0002-0000-0000-000012000000}"/>
    <dataValidation operator="greaterThanOrEqual" allowBlank="1" showInputMessage="1" showErrorMessage="1" errorTitle="Equipment Efficiency Error" error="Equipment efficiency must be 17.0 SEER or greater" sqref="F27" xr:uid="{F27AD41B-BE90-43D3-B363-2D2EAB45A423}"/>
    <dataValidation type="list" allowBlank="1" showInputMessage="1" showErrorMessage="1" sqref="J68" xr:uid="{3AAB2C79-4616-42B9-8AC3-2E23B4D92DA3}">
      <formula1>"HRV, ERV"</formula1>
    </dataValidation>
    <dataValidation type="decimal" allowBlank="1" showInputMessage="1" showErrorMessage="1" sqref="F68" xr:uid="{8AFA4308-D545-452D-96D6-C6483F735463}">
      <formula1>0</formula1>
      <formula2>1</formula2>
    </dataValidation>
    <dataValidation type="decimal" allowBlank="1" showInputMessage="1" showErrorMessage="1" errorTitle="Equipment Capacity" error="Equipment capacity must be between 5.5 tons and 11.3 tons" sqref="D31" xr:uid="{E87C36CC-A46D-4735-B5BD-A307565922FE}">
      <formula1>5.49</formula1>
      <formula2>20</formula2>
    </dataValidation>
  </dataValidations>
  <printOptions horizontalCentered="1" verticalCentered="1"/>
  <pageMargins left="0.25" right="0.25" top="0.75" bottom="0.75" header="0.3" footer="0.3"/>
  <pageSetup scale="29" fitToHeight="0" orientation="landscape" r:id="rId1"/>
  <ignoredErrors>
    <ignoredError sqref="J46 N57 J20 N20:N21 N25:N27 N31 N39 N46 N52" unlockedFormula="1"/>
  </ignoredErrors>
  <drawing r:id="rId2"/>
  <legacyDrawing r:id="rId3"/>
  <extLst>
    <ext xmlns:x14="http://schemas.microsoft.com/office/spreadsheetml/2009/9/main" uri="{CCE6A557-97BC-4b89-ADB6-D9C93CAAB3DF}">
      <x14:dataValidations xmlns:xm="http://schemas.microsoft.com/office/excel/2006/main" xWindow="1324" yWindow="887" count="2">
        <x14:dataValidation type="list" allowBlank="1" showInputMessage="1" showErrorMessage="1" promptTitle="Building Type" prompt="Select the type of building that the equipment is being installed in. If building type is not listed, select &quot;Other Commercial Building&quot;." xr:uid="{00000000-0002-0000-0000-000013000000}">
          <x14:formula1>
            <xm:f>Lookups!$A$3:$A$17</xm:f>
          </x14:formula1>
          <xm:sqref>C27:C46 C58:C61 C64 C21:C24 C15:C19 C49:C52 C55:C56 C68</xm:sqref>
        </x14:dataValidation>
        <x14:dataValidation type="list" allowBlank="1" showInputMessage="1" showErrorMessage="1" promptTitle="HVAC VFD Capacity" prompt="Choose the HVAC Fan Motor size (1-100 HP) and speed (1200/1800/2600 RPM) combination from the following list." xr:uid="{00000000-0002-0000-0000-000014000000}">
          <x14:formula1>
            <xm:f>Lookups!$J$67:$J$123</xm:f>
          </x14:formula1>
          <xm:sqref>D58:D61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V123"/>
  <sheetViews>
    <sheetView topLeftCell="A37" workbookViewId="0">
      <selection activeCell="E44" sqref="E44"/>
    </sheetView>
  </sheetViews>
  <sheetFormatPr defaultRowHeight="12.75" x14ac:dyDescent="0.2"/>
  <cols>
    <col min="1" max="1" width="25.85546875" bestFit="1" customWidth="1"/>
    <col min="2" max="2" width="30.42578125" customWidth="1"/>
    <col min="3" max="3" width="15.7109375" customWidth="1"/>
    <col min="4" max="4" width="25.42578125" customWidth="1"/>
    <col min="5" max="5" width="29.7109375" customWidth="1"/>
    <col min="6" max="6" width="27.42578125" customWidth="1"/>
    <col min="7" max="7" width="32.85546875" customWidth="1"/>
    <col min="8" max="8" width="24.5703125" customWidth="1"/>
    <col min="9" max="9" width="30.7109375" customWidth="1"/>
    <col min="10" max="10" width="25.85546875" bestFit="1" customWidth="1"/>
    <col min="11" max="11" width="31.85546875" customWidth="1"/>
    <col min="12" max="13" width="20" customWidth="1"/>
    <col min="14" max="14" width="14.85546875" customWidth="1"/>
    <col min="15" max="16" width="15.42578125" customWidth="1"/>
    <col min="17" max="17" width="11.140625" bestFit="1" customWidth="1"/>
    <col min="18" max="18" width="12.7109375" bestFit="1" customWidth="1"/>
    <col min="20" max="20" width="11.140625" bestFit="1" customWidth="1"/>
    <col min="21" max="21" width="11.5703125" bestFit="1" customWidth="1"/>
  </cols>
  <sheetData>
    <row r="1" spans="1:22" x14ac:dyDescent="0.2">
      <c r="A1" s="309" t="s">
        <v>327</v>
      </c>
      <c r="B1" s="310"/>
      <c r="C1" s="310"/>
      <c r="D1" s="310"/>
      <c r="E1" s="310"/>
    </row>
    <row r="2" spans="1:22" x14ac:dyDescent="0.2">
      <c r="A2" s="205" t="s">
        <v>19</v>
      </c>
      <c r="B2" s="205" t="s">
        <v>22</v>
      </c>
      <c r="C2" s="205" t="s">
        <v>23</v>
      </c>
      <c r="D2" s="205" t="s">
        <v>213</v>
      </c>
      <c r="E2" s="210" t="s">
        <v>371</v>
      </c>
      <c r="H2" s="454" t="s">
        <v>177</v>
      </c>
      <c r="I2" s="454"/>
      <c r="J2" s="454"/>
      <c r="L2" s="454" t="s">
        <v>352</v>
      </c>
      <c r="M2" s="454"/>
      <c r="Q2" s="205" t="s">
        <v>200</v>
      </c>
      <c r="R2" s="205" t="s">
        <v>201</v>
      </c>
    </row>
    <row r="3" spans="1:22" ht="15.75" x14ac:dyDescent="0.2">
      <c r="A3" s="60" t="s">
        <v>21</v>
      </c>
      <c r="B3" s="61">
        <v>868</v>
      </c>
      <c r="C3" s="62">
        <v>369</v>
      </c>
      <c r="D3" s="163">
        <v>3706</v>
      </c>
      <c r="E3" s="284">
        <v>3435</v>
      </c>
      <c r="H3" s="71" t="s">
        <v>205</v>
      </c>
      <c r="L3" s="244" t="s">
        <v>354</v>
      </c>
      <c r="M3" s="245">
        <v>8.0000000000000004E-4</v>
      </c>
      <c r="Q3" s="126">
        <v>1920</v>
      </c>
      <c r="R3" s="126" t="s">
        <v>40</v>
      </c>
      <c r="S3" s="73"/>
      <c r="V3" s="73"/>
    </row>
    <row r="4" spans="1:22" ht="15.75" x14ac:dyDescent="0.2">
      <c r="A4" s="60" t="s">
        <v>24</v>
      </c>
      <c r="B4" s="61">
        <v>1214</v>
      </c>
      <c r="C4" s="62">
        <v>544</v>
      </c>
      <c r="D4" s="163">
        <v>5000</v>
      </c>
      <c r="E4" s="284">
        <v>4912</v>
      </c>
      <c r="H4" s="159" t="s">
        <v>206</v>
      </c>
      <c r="J4" s="73"/>
      <c r="L4" s="244" t="s">
        <v>353</v>
      </c>
      <c r="M4" s="245">
        <v>5.3200000000000001E-3</v>
      </c>
      <c r="Q4" s="126">
        <v>1921</v>
      </c>
      <c r="R4" s="126" t="s">
        <v>40</v>
      </c>
    </row>
    <row r="5" spans="1:22" ht="15.75" x14ac:dyDescent="0.2">
      <c r="A5" s="60" t="s">
        <v>25</v>
      </c>
      <c r="B5" s="61">
        <v>860</v>
      </c>
      <c r="C5" s="62">
        <v>287</v>
      </c>
      <c r="D5" s="163">
        <v>3242</v>
      </c>
      <c r="E5" s="284">
        <v>3068</v>
      </c>
      <c r="H5" s="59" t="s">
        <v>179</v>
      </c>
      <c r="I5" s="59" t="s">
        <v>180</v>
      </c>
      <c r="J5" s="73"/>
      <c r="L5" s="65"/>
      <c r="M5" s="66"/>
      <c r="Q5" s="126">
        <v>1922</v>
      </c>
      <c r="R5" s="126" t="s">
        <v>40</v>
      </c>
    </row>
    <row r="6" spans="1:22" ht="15.75" x14ac:dyDescent="0.2">
      <c r="A6" s="60" t="s">
        <v>26</v>
      </c>
      <c r="B6" s="62">
        <v>1186</v>
      </c>
      <c r="C6" s="62">
        <v>482</v>
      </c>
      <c r="D6" s="163">
        <v>4777</v>
      </c>
      <c r="E6" s="284">
        <v>4612</v>
      </c>
      <c r="H6" s="59" t="s">
        <v>178</v>
      </c>
      <c r="I6" s="59" t="s">
        <v>181</v>
      </c>
      <c r="L6" s="65"/>
      <c r="M6" s="66"/>
      <c r="Q6" s="126">
        <v>1923</v>
      </c>
      <c r="R6" s="126" t="s">
        <v>40</v>
      </c>
    </row>
    <row r="7" spans="1:22" ht="15.75" x14ac:dyDescent="0.2">
      <c r="A7" s="60" t="s">
        <v>27</v>
      </c>
      <c r="B7" s="62">
        <v>1094</v>
      </c>
      <c r="C7" s="62">
        <v>420</v>
      </c>
      <c r="D7" s="163">
        <v>4182</v>
      </c>
      <c r="E7" s="284">
        <v>4156</v>
      </c>
      <c r="H7" s="134" t="s">
        <v>182</v>
      </c>
      <c r="I7" s="126" t="s">
        <v>192</v>
      </c>
      <c r="L7" s="65"/>
      <c r="M7" s="66"/>
      <c r="Q7" s="126">
        <v>1924</v>
      </c>
      <c r="R7" s="126" t="s">
        <v>40</v>
      </c>
    </row>
    <row r="8" spans="1:22" ht="15.75" x14ac:dyDescent="0.2">
      <c r="A8" s="60" t="s">
        <v>28</v>
      </c>
      <c r="B8" s="62">
        <v>801</v>
      </c>
      <c r="C8" s="62">
        <v>235</v>
      </c>
      <c r="D8" s="163">
        <v>2835</v>
      </c>
      <c r="E8" s="284">
        <v>2697</v>
      </c>
      <c r="H8" s="134" t="s">
        <v>183</v>
      </c>
      <c r="I8" s="143" t="s">
        <v>193</v>
      </c>
      <c r="L8" s="65"/>
      <c r="M8" s="66"/>
      <c r="Q8" s="126">
        <v>1925</v>
      </c>
      <c r="R8" s="126" t="s">
        <v>40</v>
      </c>
    </row>
    <row r="9" spans="1:22" ht="15.75" x14ac:dyDescent="0.2">
      <c r="A9" s="60" t="s">
        <v>29</v>
      </c>
      <c r="B9" s="62">
        <v>856</v>
      </c>
      <c r="C9" s="62">
        <v>355</v>
      </c>
      <c r="D9" s="163">
        <v>3555</v>
      </c>
      <c r="E9" s="284">
        <v>3392</v>
      </c>
      <c r="H9" s="134" t="s">
        <v>194</v>
      </c>
      <c r="I9" s="157">
        <v>0.01</v>
      </c>
      <c r="L9" s="65"/>
      <c r="M9" s="66"/>
      <c r="Q9" s="126">
        <v>1926</v>
      </c>
      <c r="R9" s="126" t="s">
        <v>40</v>
      </c>
    </row>
    <row r="10" spans="1:22" ht="15.75" x14ac:dyDescent="0.2">
      <c r="A10" s="60" t="s">
        <v>30</v>
      </c>
      <c r="B10" s="62">
        <v>307</v>
      </c>
      <c r="C10" s="62">
        <v>253</v>
      </c>
      <c r="D10" s="163">
        <v>2264</v>
      </c>
      <c r="E10" s="284">
        <v>2080</v>
      </c>
      <c r="H10" s="134" t="s">
        <v>199</v>
      </c>
      <c r="I10" s="157">
        <f>AVERAGE(J12:J16)</f>
        <v>5.0000000000000001E-3</v>
      </c>
      <c r="L10" s="65"/>
      <c r="M10" s="66"/>
      <c r="Q10" s="126">
        <v>1927</v>
      </c>
      <c r="R10" s="126" t="s">
        <v>40</v>
      </c>
    </row>
    <row r="11" spans="1:22" ht="15.75" x14ac:dyDescent="0.2">
      <c r="A11" s="60" t="s">
        <v>31</v>
      </c>
      <c r="B11" s="62">
        <v>868</v>
      </c>
      <c r="C11" s="62">
        <v>369</v>
      </c>
      <c r="D11" s="163">
        <v>3706</v>
      </c>
      <c r="E11" s="163">
        <f>E3</f>
        <v>3435</v>
      </c>
      <c r="H11" s="59" t="s">
        <v>191</v>
      </c>
      <c r="I11" s="59" t="s">
        <v>184</v>
      </c>
      <c r="J11" s="59" t="s">
        <v>185</v>
      </c>
      <c r="L11" s="65"/>
      <c r="M11" s="66"/>
      <c r="Q11" s="126">
        <v>1928</v>
      </c>
      <c r="R11" s="126" t="s">
        <v>40</v>
      </c>
    </row>
    <row r="12" spans="1:22" ht="15.75" x14ac:dyDescent="0.2">
      <c r="A12" s="60" t="s">
        <v>32</v>
      </c>
      <c r="B12" s="62">
        <v>790</v>
      </c>
      <c r="C12" s="62">
        <v>286</v>
      </c>
      <c r="D12" s="163">
        <v>3111</v>
      </c>
      <c r="E12" s="284">
        <v>2912</v>
      </c>
      <c r="H12" s="134" t="s">
        <v>186</v>
      </c>
      <c r="I12" s="126">
        <v>90</v>
      </c>
      <c r="J12" s="126">
        <v>5.0000000000000001E-3</v>
      </c>
      <c r="L12" s="65"/>
      <c r="M12" s="66"/>
      <c r="Q12" s="126">
        <v>1929</v>
      </c>
      <c r="R12" s="126" t="s">
        <v>40</v>
      </c>
    </row>
    <row r="13" spans="1:22" ht="15.75" x14ac:dyDescent="0.2">
      <c r="A13" s="60" t="s">
        <v>33</v>
      </c>
      <c r="B13" s="62">
        <v>1314</v>
      </c>
      <c r="C13" s="62">
        <v>709</v>
      </c>
      <c r="D13" s="163">
        <v>5959</v>
      </c>
      <c r="E13" s="284">
        <v>5913</v>
      </c>
      <c r="H13" s="134" t="s">
        <v>187</v>
      </c>
      <c r="I13" s="143">
        <v>80</v>
      </c>
      <c r="J13" s="126">
        <v>5.0000000000000001E-3</v>
      </c>
      <c r="L13" s="65"/>
      <c r="M13" s="66"/>
      <c r="Q13" s="126">
        <v>1930</v>
      </c>
      <c r="R13" s="126" t="s">
        <v>40</v>
      </c>
    </row>
    <row r="14" spans="1:22" ht="15.75" x14ac:dyDescent="0.2">
      <c r="A14" s="60" t="s">
        <v>34</v>
      </c>
      <c r="B14" s="62">
        <v>660</v>
      </c>
      <c r="C14" s="62">
        <v>211</v>
      </c>
      <c r="D14" s="163">
        <v>2658</v>
      </c>
      <c r="E14" s="284">
        <v>2278</v>
      </c>
      <c r="H14" s="134" t="s">
        <v>188</v>
      </c>
      <c r="I14" s="143">
        <v>78</v>
      </c>
      <c r="J14" s="126">
        <v>5.0000000000000001E-3</v>
      </c>
      <c r="L14" s="65"/>
      <c r="M14" s="66"/>
      <c r="Q14" s="126">
        <v>1931</v>
      </c>
      <c r="R14" s="126" t="s">
        <v>40</v>
      </c>
    </row>
    <row r="15" spans="1:22" ht="15.75" x14ac:dyDescent="0.2">
      <c r="A15" s="60" t="s">
        <v>35</v>
      </c>
      <c r="B15" s="62">
        <v>1336</v>
      </c>
      <c r="C15" s="62">
        <v>689</v>
      </c>
      <c r="D15" s="163">
        <v>5957</v>
      </c>
      <c r="E15" s="284">
        <v>5913</v>
      </c>
      <c r="H15" s="126" t="s">
        <v>189</v>
      </c>
      <c r="I15" s="143">
        <v>80</v>
      </c>
      <c r="J15" s="126">
        <v>5.0000000000000001E-3</v>
      </c>
      <c r="L15" s="65"/>
      <c r="M15" s="66"/>
      <c r="Q15" s="126">
        <v>1932</v>
      </c>
      <c r="R15" s="126" t="s">
        <v>40</v>
      </c>
    </row>
    <row r="16" spans="1:22" ht="15.75" x14ac:dyDescent="0.2">
      <c r="A16" s="60" t="s">
        <v>36</v>
      </c>
      <c r="B16" s="62">
        <v>817</v>
      </c>
      <c r="C16" s="62">
        <v>307</v>
      </c>
      <c r="D16" s="163">
        <v>3217</v>
      </c>
      <c r="E16" s="284">
        <v>3068</v>
      </c>
      <c r="H16" s="126" t="s">
        <v>190</v>
      </c>
      <c r="I16" s="143">
        <v>90</v>
      </c>
      <c r="J16" s="126">
        <v>5.0000000000000001E-3</v>
      </c>
      <c r="L16" s="65"/>
      <c r="M16" s="66"/>
      <c r="Q16" s="126">
        <v>1933</v>
      </c>
      <c r="R16" s="126" t="s">
        <v>40</v>
      </c>
    </row>
    <row r="17" spans="1:18" ht="15.75" x14ac:dyDescent="0.2">
      <c r="A17" s="125" t="s">
        <v>117</v>
      </c>
      <c r="B17" s="126">
        <v>1135</v>
      </c>
      <c r="C17" s="144">
        <v>498</v>
      </c>
      <c r="D17" s="163">
        <v>4535</v>
      </c>
      <c r="E17" s="126">
        <v>4532</v>
      </c>
      <c r="K17" s="64"/>
      <c r="L17" s="68"/>
      <c r="M17" s="66"/>
      <c r="N17" s="67"/>
      <c r="Q17" s="126">
        <v>1934</v>
      </c>
      <c r="R17" s="126" t="s">
        <v>40</v>
      </c>
    </row>
    <row r="18" spans="1:18" x14ac:dyDescent="0.2">
      <c r="E18" s="64" t="s">
        <v>37</v>
      </c>
      <c r="F18" s="69"/>
      <c r="H18" s="69"/>
      <c r="I18" s="69"/>
      <c r="J18" s="69"/>
      <c r="K18" s="69"/>
      <c r="L18" s="70"/>
      <c r="M18" s="69"/>
      <c r="N18" s="69"/>
      <c r="Q18" s="126">
        <v>1935</v>
      </c>
      <c r="R18" s="126" t="s">
        <v>40</v>
      </c>
    </row>
    <row r="19" spans="1:18" x14ac:dyDescent="0.2">
      <c r="E19" s="64" t="s">
        <v>38</v>
      </c>
      <c r="F19" s="69"/>
      <c r="H19" s="69"/>
      <c r="I19" s="69"/>
      <c r="J19" s="69"/>
      <c r="K19" s="69"/>
      <c r="L19" s="70"/>
      <c r="M19" s="69"/>
      <c r="N19" s="69"/>
      <c r="Q19" s="126">
        <v>1936</v>
      </c>
      <c r="R19" s="126" t="s">
        <v>40</v>
      </c>
    </row>
    <row r="20" spans="1:18" x14ac:dyDescent="0.2">
      <c r="Q20" s="126">
        <v>1937</v>
      </c>
      <c r="R20" s="126" t="s">
        <v>40</v>
      </c>
    </row>
    <row r="21" spans="1:18" x14ac:dyDescent="0.2">
      <c r="A21" s="455" t="s">
        <v>331</v>
      </c>
      <c r="B21" s="455"/>
      <c r="C21" s="455"/>
      <c r="D21" s="455"/>
      <c r="E21" s="455"/>
      <c r="F21" s="455"/>
      <c r="G21" s="455"/>
      <c r="H21" s="455"/>
      <c r="I21" s="455"/>
      <c r="J21" s="455"/>
      <c r="K21" s="455"/>
      <c r="L21" s="455"/>
      <c r="M21" s="455"/>
      <c r="N21" s="455"/>
      <c r="Q21" s="126">
        <v>1938</v>
      </c>
      <c r="R21" s="126" t="s">
        <v>40</v>
      </c>
    </row>
    <row r="22" spans="1:18" x14ac:dyDescent="0.2">
      <c r="E22" s="72" t="s">
        <v>101</v>
      </c>
      <c r="Q22" s="126">
        <v>1939</v>
      </c>
      <c r="R22" s="126" t="s">
        <v>40</v>
      </c>
    </row>
    <row r="23" spans="1:18" x14ac:dyDescent="0.2">
      <c r="A23" s="454" t="s">
        <v>41</v>
      </c>
      <c r="B23" s="454"/>
      <c r="C23" s="454"/>
      <c r="D23" s="216" t="s">
        <v>74</v>
      </c>
      <c r="E23" s="460" t="s">
        <v>78</v>
      </c>
      <c r="F23" s="460"/>
      <c r="G23" s="460"/>
      <c r="H23" s="460"/>
      <c r="I23" s="460"/>
      <c r="J23" s="460"/>
      <c r="K23" s="460"/>
      <c r="L23" s="460"/>
      <c r="M23" s="460"/>
      <c r="N23" s="460"/>
      <c r="Q23" s="126">
        <v>1940</v>
      </c>
      <c r="R23" s="126" t="s">
        <v>40</v>
      </c>
    </row>
    <row r="24" spans="1:18" ht="38.25" x14ac:dyDescent="0.2">
      <c r="A24" s="211" t="s">
        <v>39</v>
      </c>
      <c r="B24" s="212" t="s">
        <v>75</v>
      </c>
      <c r="C24" s="212" t="s">
        <v>76</v>
      </c>
      <c r="D24" s="212" t="s">
        <v>77</v>
      </c>
      <c r="E24" s="213" t="s">
        <v>80</v>
      </c>
      <c r="F24" s="212" t="s">
        <v>83</v>
      </c>
      <c r="G24" s="213" t="s">
        <v>80</v>
      </c>
      <c r="H24" s="214" t="s">
        <v>82</v>
      </c>
      <c r="I24" s="213" t="s">
        <v>80</v>
      </c>
      <c r="J24" s="214" t="s">
        <v>82</v>
      </c>
      <c r="K24" s="213" t="s">
        <v>80</v>
      </c>
      <c r="L24" s="214" t="s">
        <v>82</v>
      </c>
      <c r="M24" s="213" t="s">
        <v>80</v>
      </c>
      <c r="N24" s="215" t="s">
        <v>82</v>
      </c>
      <c r="Q24" s="126">
        <v>1941</v>
      </c>
      <c r="R24" s="126" t="s">
        <v>40</v>
      </c>
    </row>
    <row r="25" spans="1:18" x14ac:dyDescent="0.2">
      <c r="A25" s="96" t="s">
        <v>40</v>
      </c>
      <c r="B25" s="94">
        <v>0.68</v>
      </c>
      <c r="C25" s="94">
        <v>0.72</v>
      </c>
      <c r="D25" s="94">
        <v>0.78</v>
      </c>
      <c r="E25" s="95" t="s">
        <v>79</v>
      </c>
      <c r="F25" s="95">
        <v>10</v>
      </c>
      <c r="G25" s="95" t="s">
        <v>81</v>
      </c>
      <c r="H25" s="93">
        <v>8.3000000000000007</v>
      </c>
      <c r="I25" s="95" t="s">
        <v>84</v>
      </c>
      <c r="J25" s="93">
        <v>8.1999999999999993</v>
      </c>
      <c r="K25" s="95" t="s">
        <v>85</v>
      </c>
      <c r="L25" s="93">
        <v>8.1999999999999993</v>
      </c>
      <c r="M25" s="95" t="s">
        <v>86</v>
      </c>
      <c r="N25" s="97">
        <v>8</v>
      </c>
      <c r="Q25" s="126">
        <v>1942</v>
      </c>
      <c r="R25" s="126" t="s">
        <v>40</v>
      </c>
    </row>
    <row r="26" spans="1:18" x14ac:dyDescent="0.2">
      <c r="A26" s="155" t="s">
        <v>202</v>
      </c>
      <c r="B26" s="94">
        <v>0.68</v>
      </c>
      <c r="C26" s="94">
        <v>0.72</v>
      </c>
      <c r="D26" s="94">
        <v>0.78</v>
      </c>
      <c r="E26" s="95" t="s">
        <v>79</v>
      </c>
      <c r="F26" s="95">
        <v>10</v>
      </c>
      <c r="G26" s="95" t="s">
        <v>81</v>
      </c>
      <c r="H26" s="93">
        <v>8.3000000000000007</v>
      </c>
      <c r="I26" s="95" t="s">
        <v>84</v>
      </c>
      <c r="J26" s="93">
        <v>8.1999999999999993</v>
      </c>
      <c r="K26" s="95" t="s">
        <v>85</v>
      </c>
      <c r="L26" s="93">
        <v>8.1999999999999993</v>
      </c>
      <c r="M26" s="95" t="s">
        <v>86</v>
      </c>
      <c r="N26" s="97">
        <v>8</v>
      </c>
      <c r="Q26" s="126">
        <v>1943</v>
      </c>
      <c r="R26" s="126" t="s">
        <v>40</v>
      </c>
    </row>
    <row r="27" spans="1:18" x14ac:dyDescent="0.2">
      <c r="A27" s="98" t="s">
        <v>89</v>
      </c>
      <c r="B27" s="94">
        <v>0.8</v>
      </c>
      <c r="C27" s="94">
        <v>0.8</v>
      </c>
      <c r="D27" s="94">
        <v>0.78</v>
      </c>
      <c r="E27" s="95" t="s">
        <v>79</v>
      </c>
      <c r="F27" s="95">
        <v>10</v>
      </c>
      <c r="G27" s="95" t="s">
        <v>81</v>
      </c>
      <c r="H27" s="93">
        <v>8.3000000000000007</v>
      </c>
      <c r="I27" s="95" t="s">
        <v>84</v>
      </c>
      <c r="J27" s="93">
        <v>8.5</v>
      </c>
      <c r="K27" s="95" t="s">
        <v>85</v>
      </c>
      <c r="L27" s="93">
        <v>8.5</v>
      </c>
      <c r="M27" s="95" t="s">
        <v>86</v>
      </c>
      <c r="N27" s="97">
        <v>8.1999999999999993</v>
      </c>
      <c r="Q27" s="126">
        <v>1944</v>
      </c>
      <c r="R27" s="126" t="s">
        <v>40</v>
      </c>
    </row>
    <row r="28" spans="1:18" x14ac:dyDescent="0.2">
      <c r="A28" s="98" t="s">
        <v>88</v>
      </c>
      <c r="B28" s="94">
        <v>0.8</v>
      </c>
      <c r="C28" s="94">
        <v>0.8</v>
      </c>
      <c r="D28" s="94">
        <v>0.78</v>
      </c>
      <c r="E28" s="95" t="s">
        <v>79</v>
      </c>
      <c r="F28" s="95">
        <v>10</v>
      </c>
      <c r="G28" s="95" t="s">
        <v>81</v>
      </c>
      <c r="H28" s="93">
        <v>10.3</v>
      </c>
      <c r="I28" s="95" t="s">
        <v>84</v>
      </c>
      <c r="J28" s="95">
        <v>9.6999999999999993</v>
      </c>
      <c r="K28" s="95" t="s">
        <v>87</v>
      </c>
      <c r="L28" s="93">
        <v>9.5</v>
      </c>
      <c r="M28" s="95" t="s">
        <v>86</v>
      </c>
      <c r="N28" s="97">
        <v>9.1999999999999993</v>
      </c>
      <c r="Q28" s="126">
        <v>1945</v>
      </c>
      <c r="R28" s="126" t="s">
        <v>40</v>
      </c>
    </row>
    <row r="29" spans="1:18" x14ac:dyDescent="0.2">
      <c r="A29" s="98" t="s">
        <v>90</v>
      </c>
      <c r="B29" s="94">
        <v>0.8</v>
      </c>
      <c r="C29" s="94">
        <v>0.8</v>
      </c>
      <c r="D29" s="94">
        <v>0.78</v>
      </c>
      <c r="E29" s="95" t="s">
        <v>79</v>
      </c>
      <c r="F29" s="93">
        <v>13</v>
      </c>
      <c r="G29" s="95" t="s">
        <v>81</v>
      </c>
      <c r="H29" s="93">
        <v>10.3</v>
      </c>
      <c r="I29" s="95" t="s">
        <v>84</v>
      </c>
      <c r="J29" s="93">
        <v>9.6999999999999993</v>
      </c>
      <c r="K29" s="95" t="s">
        <v>87</v>
      </c>
      <c r="L29" s="93">
        <v>9.5</v>
      </c>
      <c r="M29" s="95" t="s">
        <v>86</v>
      </c>
      <c r="N29" s="97">
        <v>9.3000000000000007</v>
      </c>
      <c r="Q29" s="126">
        <v>1946</v>
      </c>
      <c r="R29" s="126" t="s">
        <v>40</v>
      </c>
    </row>
    <row r="30" spans="1:18" ht="13.5" thickBot="1" x14ac:dyDescent="0.25">
      <c r="A30" s="99" t="s">
        <v>91</v>
      </c>
      <c r="B30" s="100">
        <v>0.8</v>
      </c>
      <c r="C30" s="100">
        <v>0.8</v>
      </c>
      <c r="D30" s="100">
        <v>0.78</v>
      </c>
      <c r="E30" s="101" t="s">
        <v>79</v>
      </c>
      <c r="F30" s="102">
        <v>13</v>
      </c>
      <c r="G30" s="101" t="s">
        <v>81</v>
      </c>
      <c r="H30" s="103">
        <v>11</v>
      </c>
      <c r="I30" s="101" t="s">
        <v>84</v>
      </c>
      <c r="J30" s="102">
        <v>10.8</v>
      </c>
      <c r="K30" s="101" t="s">
        <v>87</v>
      </c>
      <c r="L30" s="102">
        <v>9.5</v>
      </c>
      <c r="M30" s="101" t="s">
        <v>86</v>
      </c>
      <c r="N30" s="104">
        <v>9.5</v>
      </c>
      <c r="Q30" s="126">
        <v>1947</v>
      </c>
      <c r="R30" s="126" t="s">
        <v>40</v>
      </c>
    </row>
    <row r="31" spans="1:18" x14ac:dyDescent="0.2">
      <c r="A31" s="461" t="s">
        <v>92</v>
      </c>
      <c r="B31" s="461"/>
      <c r="Q31" s="126">
        <v>1948</v>
      </c>
      <c r="R31" s="126" t="s">
        <v>40</v>
      </c>
    </row>
    <row r="32" spans="1:18" x14ac:dyDescent="0.2">
      <c r="E32">
        <v>5</v>
      </c>
      <c r="G32">
        <v>11</v>
      </c>
      <c r="I32">
        <f>240/12</f>
        <v>20</v>
      </c>
      <c r="Q32" s="126">
        <v>1949</v>
      </c>
      <c r="R32" s="126" t="s">
        <v>40</v>
      </c>
    </row>
    <row r="33" spans="1:18" x14ac:dyDescent="0.2">
      <c r="Q33" s="126">
        <v>1950</v>
      </c>
      <c r="R33" s="126" t="s">
        <v>40</v>
      </c>
    </row>
    <row r="34" spans="1:18" x14ac:dyDescent="0.2">
      <c r="A34" s="462" t="s">
        <v>330</v>
      </c>
      <c r="B34" s="462"/>
      <c r="C34" s="462"/>
      <c r="D34" s="462"/>
      <c r="E34" s="462"/>
      <c r="F34" s="462"/>
      <c r="G34" s="462"/>
      <c r="H34" s="462"/>
      <c r="Q34" s="126">
        <v>1951</v>
      </c>
      <c r="R34" s="126" t="s">
        <v>40</v>
      </c>
    </row>
    <row r="35" spans="1:18" x14ac:dyDescent="0.2">
      <c r="A35" s="72"/>
      <c r="B35" s="72"/>
      <c r="Q35" s="126">
        <v>1952</v>
      </c>
      <c r="R35" s="126" t="s">
        <v>40</v>
      </c>
    </row>
    <row r="36" spans="1:18" x14ac:dyDescent="0.2">
      <c r="A36" s="457" t="s">
        <v>47</v>
      </c>
      <c r="B36" s="458"/>
      <c r="C36" s="458"/>
      <c r="D36" s="459"/>
      <c r="E36" s="72" t="s">
        <v>52</v>
      </c>
      <c r="Q36" s="126">
        <v>1953</v>
      </c>
      <c r="R36" s="126" t="s">
        <v>40</v>
      </c>
    </row>
    <row r="37" spans="1:18" x14ac:dyDescent="0.2">
      <c r="A37" s="74" t="s">
        <v>43</v>
      </c>
      <c r="B37" s="75" t="s">
        <v>45</v>
      </c>
      <c r="C37" s="75"/>
      <c r="D37" s="75"/>
      <c r="E37" s="75"/>
      <c r="F37" s="76"/>
      <c r="Q37" s="126">
        <v>1954</v>
      </c>
      <c r="R37" s="126" t="s">
        <v>40</v>
      </c>
    </row>
    <row r="38" spans="1:18" x14ac:dyDescent="0.2">
      <c r="A38" s="77" t="s">
        <v>44</v>
      </c>
      <c r="B38" s="63" t="s">
        <v>46</v>
      </c>
      <c r="C38" s="78"/>
      <c r="D38" s="63"/>
      <c r="E38" s="63"/>
      <c r="F38" s="79"/>
      <c r="Q38" s="126">
        <v>1955</v>
      </c>
      <c r="R38" s="126" t="s">
        <v>40</v>
      </c>
    </row>
    <row r="39" spans="1:18" x14ac:dyDescent="0.2">
      <c r="A39" s="77" t="s">
        <v>50</v>
      </c>
      <c r="B39" s="78" t="s">
        <v>48</v>
      </c>
      <c r="C39" s="63"/>
      <c r="D39" s="63"/>
      <c r="E39" s="63"/>
      <c r="F39" s="79"/>
      <c r="Q39" s="126">
        <v>1956</v>
      </c>
      <c r="R39" s="126" t="s">
        <v>40</v>
      </c>
    </row>
    <row r="40" spans="1:18" x14ac:dyDescent="0.2">
      <c r="A40" s="80" t="s">
        <v>49</v>
      </c>
      <c r="B40" s="81" t="s">
        <v>51</v>
      </c>
      <c r="C40" s="82"/>
      <c r="D40" s="82"/>
      <c r="E40" s="82"/>
      <c r="F40" s="83"/>
      <c r="Q40" s="126">
        <v>1957</v>
      </c>
      <c r="R40" s="126" t="s">
        <v>40</v>
      </c>
    </row>
    <row r="41" spans="1:18" x14ac:dyDescent="0.2">
      <c r="Q41" s="126">
        <v>1958</v>
      </c>
      <c r="R41" s="126" t="s">
        <v>40</v>
      </c>
    </row>
    <row r="42" spans="1:18" x14ac:dyDescent="0.2">
      <c r="A42" s="463" t="s">
        <v>102</v>
      </c>
      <c r="B42" s="463"/>
      <c r="C42" s="463"/>
      <c r="D42" s="463"/>
      <c r="E42" s="72" t="s">
        <v>52</v>
      </c>
      <c r="Q42" s="126">
        <v>1959</v>
      </c>
      <c r="R42" s="126" t="s">
        <v>40</v>
      </c>
    </row>
    <row r="43" spans="1:18" x14ac:dyDescent="0.2">
      <c r="A43" s="90" t="s">
        <v>68</v>
      </c>
      <c r="B43" s="172" t="s">
        <v>280</v>
      </c>
      <c r="C43" s="75"/>
      <c r="D43" s="75"/>
      <c r="E43" s="114" t="s">
        <v>108</v>
      </c>
      <c r="Q43" s="126">
        <v>1960</v>
      </c>
      <c r="R43" s="126" t="s">
        <v>40</v>
      </c>
    </row>
    <row r="44" spans="1:18" x14ac:dyDescent="0.2">
      <c r="A44" s="91" t="s">
        <v>69</v>
      </c>
      <c r="B44" s="81" t="s">
        <v>100</v>
      </c>
      <c r="C44" s="82"/>
      <c r="D44" s="82"/>
      <c r="E44" s="318">
        <v>1</v>
      </c>
      <c r="Q44" s="126">
        <v>1961</v>
      </c>
      <c r="R44" s="126" t="s">
        <v>40</v>
      </c>
    </row>
    <row r="45" spans="1:18" x14ac:dyDescent="0.2">
      <c r="A45" s="89"/>
      <c r="Q45" s="126">
        <v>1962</v>
      </c>
      <c r="R45" s="126" t="s">
        <v>40</v>
      </c>
    </row>
    <row r="46" spans="1:18" x14ac:dyDescent="0.2">
      <c r="A46" s="463" t="s">
        <v>329</v>
      </c>
      <c r="B46" s="463"/>
      <c r="C46" s="463"/>
      <c r="D46" s="463"/>
      <c r="E46" s="72" t="s">
        <v>52</v>
      </c>
      <c r="Q46" s="126">
        <v>1963</v>
      </c>
      <c r="R46" s="126" t="s">
        <v>40</v>
      </c>
    </row>
    <row r="47" spans="1:18" ht="25.5" x14ac:dyDescent="0.2">
      <c r="A47" s="137" t="s">
        <v>138</v>
      </c>
      <c r="B47" s="134" t="s">
        <v>141</v>
      </c>
      <c r="C47" s="126"/>
      <c r="D47" s="126"/>
      <c r="E47" s="126"/>
      <c r="F47" s="126"/>
      <c r="Q47" s="126">
        <v>1964</v>
      </c>
      <c r="R47" s="126" t="s">
        <v>40</v>
      </c>
    </row>
    <row r="48" spans="1:18" ht="25.5" x14ac:dyDescent="0.2">
      <c r="A48" s="137" t="s">
        <v>140</v>
      </c>
      <c r="B48" s="134" t="s">
        <v>139</v>
      </c>
      <c r="C48" s="126"/>
      <c r="D48" s="126"/>
      <c r="E48" s="126"/>
      <c r="F48" s="126"/>
      <c r="Q48" s="126">
        <v>1965</v>
      </c>
      <c r="R48" s="126" t="s">
        <v>40</v>
      </c>
    </row>
    <row r="49" spans="1:18" x14ac:dyDescent="0.2">
      <c r="Q49" s="126">
        <v>1966</v>
      </c>
      <c r="R49" s="126" t="s">
        <v>40</v>
      </c>
    </row>
    <row r="50" spans="1:18" ht="15" customHeight="1" x14ac:dyDescent="0.2">
      <c r="A50" s="138" t="s">
        <v>153</v>
      </c>
      <c r="Q50" s="126">
        <v>1967</v>
      </c>
      <c r="R50" s="126" t="s">
        <v>40</v>
      </c>
    </row>
    <row r="51" spans="1:18" x14ac:dyDescent="0.2">
      <c r="A51" s="134" t="s">
        <v>142</v>
      </c>
      <c r="B51" s="134" t="s">
        <v>143</v>
      </c>
      <c r="D51" s="162"/>
      <c r="Q51" s="126">
        <v>1968</v>
      </c>
      <c r="R51" s="126" t="s">
        <v>40</v>
      </c>
    </row>
    <row r="52" spans="1:18" x14ac:dyDescent="0.2">
      <c r="A52" s="134" t="s">
        <v>144</v>
      </c>
      <c r="B52" s="129">
        <v>0.65</v>
      </c>
      <c r="Q52" s="126">
        <v>1969</v>
      </c>
      <c r="R52" s="126" t="s">
        <v>40</v>
      </c>
    </row>
    <row r="53" spans="1:18" x14ac:dyDescent="0.2">
      <c r="A53" s="134" t="s">
        <v>145</v>
      </c>
      <c r="B53" s="134" t="s">
        <v>146</v>
      </c>
      <c r="Q53" s="126">
        <v>1970</v>
      </c>
      <c r="R53" s="126" t="s">
        <v>40</v>
      </c>
    </row>
    <row r="54" spans="1:18" x14ac:dyDescent="0.2">
      <c r="A54" s="134" t="s">
        <v>147</v>
      </c>
      <c r="B54" s="134" t="s">
        <v>148</v>
      </c>
      <c r="Q54" s="126">
        <v>1971</v>
      </c>
      <c r="R54" s="126" t="s">
        <v>40</v>
      </c>
    </row>
    <row r="55" spans="1:18" x14ac:dyDescent="0.2">
      <c r="A55" s="134" t="s">
        <v>149</v>
      </c>
      <c r="B55" s="129">
        <v>0.33</v>
      </c>
      <c r="Q55" s="126">
        <v>1972</v>
      </c>
      <c r="R55" s="126" t="s">
        <v>40</v>
      </c>
    </row>
    <row r="56" spans="1:18" x14ac:dyDescent="0.2">
      <c r="A56" s="134" t="s">
        <v>150</v>
      </c>
      <c r="B56" s="166">
        <f>1+(1/B57)</f>
        <v>1.3046428571428572</v>
      </c>
      <c r="C56" s="167" t="s">
        <v>266</v>
      </c>
      <c r="Q56" s="126">
        <v>1973</v>
      </c>
      <c r="R56" s="126" t="s">
        <v>40</v>
      </c>
    </row>
    <row r="57" spans="1:18" x14ac:dyDescent="0.2">
      <c r="A57" s="134" t="s">
        <v>151</v>
      </c>
      <c r="B57" s="166">
        <f>11.2/3.412</f>
        <v>3.2825322391559202</v>
      </c>
      <c r="C57" s="124" t="s">
        <v>326</v>
      </c>
      <c r="Q57" s="126">
        <v>1974</v>
      </c>
      <c r="R57" s="126" t="s">
        <v>40</v>
      </c>
    </row>
    <row r="58" spans="1:18" x14ac:dyDescent="0.2">
      <c r="A58" s="134" t="s">
        <v>152</v>
      </c>
      <c r="B58" s="126">
        <v>0.746</v>
      </c>
      <c r="Q58" s="126">
        <v>1975</v>
      </c>
      <c r="R58" s="126" t="s">
        <v>40</v>
      </c>
    </row>
    <row r="59" spans="1:18" x14ac:dyDescent="0.2">
      <c r="Q59" s="126">
        <v>1976</v>
      </c>
      <c r="R59" s="126" t="s">
        <v>40</v>
      </c>
    </row>
    <row r="60" spans="1:18" x14ac:dyDescent="0.2">
      <c r="Q60" s="126">
        <v>1977</v>
      </c>
      <c r="R60" s="126" t="s">
        <v>40</v>
      </c>
    </row>
    <row r="61" spans="1:18" x14ac:dyDescent="0.2">
      <c r="A61" s="463" t="s">
        <v>119</v>
      </c>
      <c r="B61" s="463"/>
      <c r="C61" s="463"/>
      <c r="D61" s="463"/>
      <c r="E61" s="72" t="s">
        <v>52</v>
      </c>
      <c r="Q61" s="126">
        <v>1978</v>
      </c>
      <c r="R61" s="126" t="s">
        <v>40</v>
      </c>
    </row>
    <row r="62" spans="1:18" x14ac:dyDescent="0.2">
      <c r="Q62" s="126">
        <v>1979</v>
      </c>
      <c r="R62" s="126" t="s">
        <v>40</v>
      </c>
    </row>
    <row r="63" spans="1:18" x14ac:dyDescent="0.2">
      <c r="A63" s="134" t="s">
        <v>154</v>
      </c>
      <c r="B63" s="161" t="s">
        <v>281</v>
      </c>
      <c r="C63" s="161"/>
      <c r="D63" s="173" t="s">
        <v>282</v>
      </c>
      <c r="G63" s="205" t="s">
        <v>344</v>
      </c>
      <c r="H63" s="205" t="s">
        <v>343</v>
      </c>
      <c r="I63" s="205" t="s">
        <v>355</v>
      </c>
      <c r="Q63" s="126">
        <v>1980</v>
      </c>
      <c r="R63" s="134" t="s">
        <v>202</v>
      </c>
    </row>
    <row r="64" spans="1:18" x14ac:dyDescent="0.2">
      <c r="A64" s="140" t="s">
        <v>345</v>
      </c>
      <c r="B64" s="174" t="s">
        <v>284</v>
      </c>
      <c r="C64" s="161"/>
      <c r="D64" s="134" t="s">
        <v>283</v>
      </c>
      <c r="G64" s="126">
        <v>1</v>
      </c>
      <c r="H64" s="231">
        <f>(0.3109*G64)-0.2055</f>
        <v>0.10540000000000002</v>
      </c>
      <c r="I64" s="248">
        <f>$F$30</f>
        <v>13</v>
      </c>
      <c r="J64" s="72" t="s">
        <v>52</v>
      </c>
      <c r="Q64" s="126">
        <v>1981</v>
      </c>
      <c r="R64" s="134" t="s">
        <v>202</v>
      </c>
    </row>
    <row r="65" spans="1:18" x14ac:dyDescent="0.2">
      <c r="G65" s="126">
        <v>2</v>
      </c>
      <c r="H65" s="231">
        <f>(0.3109*G65)-0.2055</f>
        <v>0.4163</v>
      </c>
      <c r="I65" s="248">
        <f t="shared" ref="I65:I68" si="0">$F$30</f>
        <v>13</v>
      </c>
      <c r="J65" s="456" t="s">
        <v>216</v>
      </c>
      <c r="K65" s="454"/>
      <c r="L65" s="454"/>
      <c r="M65" s="454"/>
      <c r="Q65" s="126">
        <v>1982</v>
      </c>
      <c r="R65" s="134" t="s">
        <v>202</v>
      </c>
    </row>
    <row r="66" spans="1:18" ht="15" x14ac:dyDescent="0.2">
      <c r="D66" s="464" t="s">
        <v>346</v>
      </c>
      <c r="E66" s="464"/>
      <c r="F66" s="464"/>
      <c r="G66" s="229">
        <v>3</v>
      </c>
      <c r="H66" s="231">
        <f>(0.3109*G66)-0.2055</f>
        <v>0.72720000000000007</v>
      </c>
      <c r="I66" s="248">
        <f t="shared" si="0"/>
        <v>13</v>
      </c>
      <c r="J66" s="246" t="s">
        <v>214</v>
      </c>
      <c r="K66" s="209" t="s">
        <v>145</v>
      </c>
      <c r="L66" s="209" t="s">
        <v>215</v>
      </c>
      <c r="M66" s="209" t="s">
        <v>323</v>
      </c>
      <c r="N66" s="209" t="s">
        <v>287</v>
      </c>
      <c r="Q66" s="126">
        <v>1983</v>
      </c>
      <c r="R66" s="134" t="s">
        <v>202</v>
      </c>
    </row>
    <row r="67" spans="1:18" ht="15" x14ac:dyDescent="0.2">
      <c r="A67" s="134" t="s">
        <v>155</v>
      </c>
      <c r="B67" s="134" t="s">
        <v>279</v>
      </c>
      <c r="D67" s="230" t="s">
        <v>348</v>
      </c>
      <c r="E67" s="230" t="s">
        <v>145</v>
      </c>
      <c r="F67" s="230" t="s">
        <v>347</v>
      </c>
      <c r="G67" s="229">
        <v>4</v>
      </c>
      <c r="H67" s="231">
        <f>(0.3109*G67)-0.2055</f>
        <v>1.0381</v>
      </c>
      <c r="I67" s="248">
        <f t="shared" si="0"/>
        <v>13</v>
      </c>
      <c r="J67" s="247" t="s">
        <v>217</v>
      </c>
      <c r="K67" s="126">
        <v>1</v>
      </c>
      <c r="L67" s="132">
        <v>0.82499999999999996</v>
      </c>
      <c r="M67" s="168">
        <f>'Incremental Cost'!$E$55</f>
        <v>613</v>
      </c>
      <c r="N67" s="135">
        <f>'Incremental Cost'!$C$55</f>
        <v>600</v>
      </c>
      <c r="Q67" s="126">
        <v>1984</v>
      </c>
      <c r="R67" s="134" t="s">
        <v>202</v>
      </c>
    </row>
    <row r="68" spans="1:18" ht="15" x14ac:dyDescent="0.2">
      <c r="A68" s="140" t="s">
        <v>342</v>
      </c>
      <c r="B68" s="134" t="s">
        <v>279</v>
      </c>
      <c r="D68" s="230">
        <v>3600</v>
      </c>
      <c r="E68" s="230">
        <v>0.52</v>
      </c>
      <c r="F68" s="230">
        <v>3</v>
      </c>
      <c r="G68" s="229">
        <v>5</v>
      </c>
      <c r="H68" s="231">
        <f>(0.3109*G68)-0.2055</f>
        <v>1.349</v>
      </c>
      <c r="I68" s="248">
        <f t="shared" si="0"/>
        <v>13</v>
      </c>
      <c r="J68" s="247" t="s">
        <v>218</v>
      </c>
      <c r="K68" s="126">
        <v>1.5</v>
      </c>
      <c r="L68" s="132">
        <v>0.86499999999999999</v>
      </c>
      <c r="M68" s="168">
        <f>'Incremental Cost'!$E$55</f>
        <v>613</v>
      </c>
      <c r="N68" s="135">
        <f>'Incremental Cost'!$C$55</f>
        <v>600</v>
      </c>
      <c r="Q68" s="126">
        <v>1985</v>
      </c>
      <c r="R68" s="134" t="s">
        <v>202</v>
      </c>
    </row>
    <row r="69" spans="1:18" ht="15" x14ac:dyDescent="0.2">
      <c r="A69" s="140" t="s">
        <v>156</v>
      </c>
      <c r="B69" s="126">
        <v>0.746</v>
      </c>
      <c r="D69" s="230">
        <v>6500</v>
      </c>
      <c r="E69" s="230">
        <v>1.528</v>
      </c>
      <c r="F69" s="230">
        <v>5.4</v>
      </c>
      <c r="G69" s="229">
        <v>6</v>
      </c>
      <c r="H69" s="231">
        <f t="shared" ref="H69:H76" si="1">(0.3109*G69)-0.2055</f>
        <v>1.6599000000000002</v>
      </c>
      <c r="I69" s="248">
        <f>$G$32/0.9</f>
        <v>12.222222222222221</v>
      </c>
      <c r="J69" s="247" t="s">
        <v>219</v>
      </c>
      <c r="K69" s="126">
        <v>2</v>
      </c>
      <c r="L69" s="132">
        <v>0.875</v>
      </c>
      <c r="M69" s="168">
        <f>'Incremental Cost'!$E$55</f>
        <v>613</v>
      </c>
      <c r="N69" s="135">
        <f>'Incremental Cost'!$C$55</f>
        <v>600</v>
      </c>
      <c r="Q69" s="126">
        <v>1986</v>
      </c>
      <c r="R69" s="134" t="s">
        <v>202</v>
      </c>
    </row>
    <row r="70" spans="1:18" ht="15" x14ac:dyDescent="0.2">
      <c r="A70" s="140" t="s">
        <v>157</v>
      </c>
      <c r="B70" s="129">
        <v>0.8</v>
      </c>
      <c r="D70" s="230">
        <v>8924.25</v>
      </c>
      <c r="E70" s="230">
        <v>2.5</v>
      </c>
      <c r="F70" s="230">
        <v>7.4</v>
      </c>
      <c r="G70" s="229">
        <v>7</v>
      </c>
      <c r="H70" s="231">
        <f t="shared" si="1"/>
        <v>1.9707999999999999</v>
      </c>
      <c r="I70" s="248">
        <f t="shared" ref="I70:I74" si="2">$G$32/0.9</f>
        <v>12.222222222222221</v>
      </c>
      <c r="J70" s="247" t="s">
        <v>220</v>
      </c>
      <c r="K70" s="126">
        <v>3</v>
      </c>
      <c r="L70" s="132">
        <v>0.88500000000000001</v>
      </c>
      <c r="M70" s="168">
        <f>'Incremental Cost'!$E$55</f>
        <v>613</v>
      </c>
      <c r="N70" s="135">
        <f>'Incremental Cost'!$C$55</f>
        <v>600</v>
      </c>
      <c r="Q70" s="126">
        <v>1987</v>
      </c>
      <c r="R70" s="134" t="s">
        <v>202</v>
      </c>
    </row>
    <row r="71" spans="1:18" ht="15" x14ac:dyDescent="0.2">
      <c r="A71" s="140" t="s">
        <v>158</v>
      </c>
      <c r="B71" s="129">
        <v>0.8</v>
      </c>
      <c r="D71" s="230">
        <v>10494.75</v>
      </c>
      <c r="E71" s="230">
        <v>2.5</v>
      </c>
      <c r="F71" s="230">
        <v>8.6999999999999993</v>
      </c>
      <c r="G71" s="229">
        <v>8</v>
      </c>
      <c r="H71" s="231">
        <f t="shared" si="1"/>
        <v>2.2817000000000003</v>
      </c>
      <c r="I71" s="248">
        <f t="shared" si="2"/>
        <v>12.222222222222221</v>
      </c>
      <c r="J71" s="247" t="s">
        <v>221</v>
      </c>
      <c r="K71" s="126">
        <v>5</v>
      </c>
      <c r="L71" s="132">
        <v>0.89500000000000002</v>
      </c>
      <c r="M71" s="168">
        <f>'Incremental Cost'!$E$56</f>
        <v>413</v>
      </c>
      <c r="N71" s="135">
        <f>'Incremental Cost'!$C$56</f>
        <v>900</v>
      </c>
      <c r="Q71" s="126">
        <v>1988</v>
      </c>
      <c r="R71" s="134" t="s">
        <v>202</v>
      </c>
    </row>
    <row r="72" spans="1:18" ht="15" x14ac:dyDescent="0.2">
      <c r="A72" s="140" t="s">
        <v>159</v>
      </c>
      <c r="B72" s="126">
        <v>0.7</v>
      </c>
      <c r="D72" s="230">
        <v>13234.5</v>
      </c>
      <c r="E72" s="230">
        <v>3</v>
      </c>
      <c r="F72" s="230">
        <v>11</v>
      </c>
      <c r="G72" s="229">
        <v>9</v>
      </c>
      <c r="H72" s="231">
        <f t="shared" si="1"/>
        <v>2.5926000000000005</v>
      </c>
      <c r="I72" s="248">
        <f t="shared" si="2"/>
        <v>12.222222222222221</v>
      </c>
      <c r="J72" s="247" t="s">
        <v>222</v>
      </c>
      <c r="K72" s="126">
        <v>7.5</v>
      </c>
      <c r="L72" s="132">
        <v>0.90200000000000002</v>
      </c>
      <c r="M72" s="168">
        <f>'Incremental Cost'!$E$57</f>
        <v>445</v>
      </c>
      <c r="N72" s="135">
        <f>'Incremental Cost'!$C$57</f>
        <v>1130</v>
      </c>
      <c r="Q72" s="126">
        <v>1989</v>
      </c>
      <c r="R72" s="126" t="s">
        <v>89</v>
      </c>
    </row>
    <row r="73" spans="1:18" x14ac:dyDescent="0.2">
      <c r="A73" s="140" t="s">
        <v>160</v>
      </c>
      <c r="B73" s="132">
        <v>7.6999999999999999E-2</v>
      </c>
      <c r="E73" s="124" t="s">
        <v>349</v>
      </c>
      <c r="G73" s="126">
        <v>10</v>
      </c>
      <c r="H73" s="231">
        <f t="shared" si="1"/>
        <v>2.9035000000000002</v>
      </c>
      <c r="I73" s="248">
        <f t="shared" si="2"/>
        <v>12.222222222222221</v>
      </c>
      <c r="J73" s="247" t="s">
        <v>223</v>
      </c>
      <c r="K73" s="126">
        <v>10</v>
      </c>
      <c r="L73" s="132">
        <v>0.91700000000000004</v>
      </c>
      <c r="M73" s="168">
        <f>'Incremental Cost'!$E$58</f>
        <v>400</v>
      </c>
      <c r="N73" s="135">
        <f>'Incremental Cost'!$C$58</f>
        <v>1350</v>
      </c>
      <c r="Q73" s="126">
        <v>1990</v>
      </c>
      <c r="R73" s="126" t="s">
        <v>89</v>
      </c>
    </row>
    <row r="74" spans="1:18" x14ac:dyDescent="0.2">
      <c r="A74" s="140" t="s">
        <v>161</v>
      </c>
      <c r="B74" s="129">
        <v>0.7</v>
      </c>
      <c r="D74" s="162"/>
      <c r="G74" s="126">
        <v>11</v>
      </c>
      <c r="H74" s="231">
        <f t="shared" si="1"/>
        <v>3.2144000000000004</v>
      </c>
      <c r="I74" s="248">
        <f t="shared" si="2"/>
        <v>12.222222222222221</v>
      </c>
      <c r="J74" s="247" t="s">
        <v>224</v>
      </c>
      <c r="K74" s="126">
        <v>15</v>
      </c>
      <c r="L74" s="132">
        <v>0.91700000000000004</v>
      </c>
      <c r="M74" s="168">
        <f>'Incremental Cost'!$E$59</f>
        <v>463</v>
      </c>
      <c r="N74" s="135">
        <f>'Incremental Cost'!$C$59</f>
        <v>1800</v>
      </c>
      <c r="Q74" s="126">
        <v>1991</v>
      </c>
      <c r="R74" s="126" t="s">
        <v>89</v>
      </c>
    </row>
    <row r="75" spans="1:18" x14ac:dyDescent="0.2">
      <c r="A75" s="140" t="s">
        <v>162</v>
      </c>
      <c r="B75" s="129">
        <v>0.7</v>
      </c>
      <c r="G75" s="143">
        <v>12</v>
      </c>
      <c r="H75" s="231">
        <f t="shared" si="1"/>
        <v>3.5253000000000005</v>
      </c>
      <c r="I75" s="248">
        <f>$J$30/0.9</f>
        <v>12</v>
      </c>
      <c r="J75" s="247" t="s">
        <v>225</v>
      </c>
      <c r="K75" s="126">
        <v>20</v>
      </c>
      <c r="L75" s="132">
        <v>0.92400000000000004</v>
      </c>
      <c r="M75" s="168">
        <f>'Incremental Cost'!$E$60</f>
        <v>238</v>
      </c>
      <c r="N75" s="135">
        <f>'Incremental Cost'!$C$60</f>
        <v>2300</v>
      </c>
      <c r="Q75" s="126">
        <v>1992</v>
      </c>
      <c r="R75" s="126" t="s">
        <v>89</v>
      </c>
    </row>
    <row r="76" spans="1:18" x14ac:dyDescent="0.2">
      <c r="G76" s="143">
        <v>13</v>
      </c>
      <c r="H76" s="231">
        <f t="shared" si="1"/>
        <v>3.8362000000000007</v>
      </c>
      <c r="I76" s="248">
        <f>$J$30/0.9</f>
        <v>12</v>
      </c>
      <c r="J76" s="247" t="s">
        <v>226</v>
      </c>
      <c r="K76" s="126">
        <v>25</v>
      </c>
      <c r="L76" s="132">
        <v>0.93</v>
      </c>
      <c r="M76" s="168">
        <f>'Incremental Cost'!$E$61</f>
        <v>450</v>
      </c>
      <c r="N76" s="135">
        <f>'Incremental Cost'!$C$61</f>
        <v>2750</v>
      </c>
      <c r="Q76" s="126">
        <v>1993</v>
      </c>
      <c r="R76" s="126" t="s">
        <v>89</v>
      </c>
    </row>
    <row r="77" spans="1:18" x14ac:dyDescent="0.2">
      <c r="A77" s="457" t="s">
        <v>195</v>
      </c>
      <c r="B77" s="458"/>
      <c r="C77" s="458"/>
      <c r="D77" s="459"/>
      <c r="E77" s="124" t="s">
        <v>328</v>
      </c>
      <c r="J77" s="134" t="s">
        <v>227</v>
      </c>
      <c r="K77" s="126">
        <v>30</v>
      </c>
      <c r="L77" s="132">
        <v>0.93600000000000005</v>
      </c>
      <c r="M77" s="168">
        <f>'Incremental Cost'!$E$62</f>
        <v>563</v>
      </c>
      <c r="N77" s="135">
        <f>'Incremental Cost'!$C$62</f>
        <v>3200</v>
      </c>
      <c r="Q77" s="126">
        <v>1994</v>
      </c>
      <c r="R77" s="126" t="s">
        <v>89</v>
      </c>
    </row>
    <row r="78" spans="1:18" x14ac:dyDescent="0.2">
      <c r="C78" s="124"/>
      <c r="J78" s="134" t="s">
        <v>228</v>
      </c>
      <c r="K78" s="126">
        <v>40</v>
      </c>
      <c r="L78" s="132">
        <v>0.94099999999999995</v>
      </c>
      <c r="M78" s="168">
        <f>'Incremental Cost'!$E$63</f>
        <v>325</v>
      </c>
      <c r="N78" s="135">
        <f>'Incremental Cost'!$C$63</f>
        <v>4000</v>
      </c>
      <c r="Q78" s="126">
        <v>1995</v>
      </c>
      <c r="R78" s="126" t="s">
        <v>89</v>
      </c>
    </row>
    <row r="79" spans="1:18" x14ac:dyDescent="0.2">
      <c r="B79" s="226" t="s">
        <v>338</v>
      </c>
      <c r="C79" s="225"/>
      <c r="D79" s="226" t="s">
        <v>339</v>
      </c>
      <c r="E79" s="225"/>
      <c r="F79" s="226" t="s">
        <v>340</v>
      </c>
      <c r="G79" s="225"/>
      <c r="J79" s="134" t="s">
        <v>229</v>
      </c>
      <c r="K79" s="126">
        <v>50</v>
      </c>
      <c r="L79" s="132">
        <v>0.94099999999999995</v>
      </c>
      <c r="M79" s="168">
        <f>'Incremental Cost'!$E$64</f>
        <v>450</v>
      </c>
      <c r="N79" s="135">
        <f>'Incremental Cost'!$C$64</f>
        <v>4900</v>
      </c>
      <c r="Q79" s="126">
        <v>1996</v>
      </c>
      <c r="R79" s="126" t="s">
        <v>89</v>
      </c>
    </row>
    <row r="80" spans="1:18" x14ac:dyDescent="0.2">
      <c r="A80" s="208" t="s">
        <v>19</v>
      </c>
      <c r="B80" s="208" t="s">
        <v>336</v>
      </c>
      <c r="C80" s="208" t="s">
        <v>337</v>
      </c>
      <c r="D80" s="208" t="s">
        <v>336</v>
      </c>
      <c r="E80" s="208" t="s">
        <v>337</v>
      </c>
      <c r="F80" s="208" t="s">
        <v>336</v>
      </c>
      <c r="G80" s="208" t="s">
        <v>337</v>
      </c>
      <c r="J80" s="134" t="s">
        <v>230</v>
      </c>
      <c r="K80" s="126">
        <v>60</v>
      </c>
      <c r="L80" s="132">
        <v>0.94099999999999995</v>
      </c>
      <c r="M80" s="168">
        <f>'Incremental Cost'!$E$65</f>
        <v>950</v>
      </c>
      <c r="N80" s="135">
        <f>'Incremental Cost'!$C$65</f>
        <v>5600</v>
      </c>
      <c r="Q80" s="126">
        <v>1997</v>
      </c>
      <c r="R80" s="126" t="s">
        <v>89</v>
      </c>
    </row>
    <row r="81" spans="1:18" ht="15.75" x14ac:dyDescent="0.2">
      <c r="A81" s="60" t="s">
        <v>21</v>
      </c>
      <c r="B81" s="223">
        <f>$B$87*(B3/$B$9)</f>
        <v>0.64680872274143297</v>
      </c>
      <c r="C81" s="223">
        <f t="shared" ref="C81:C86" si="3">$C$87*(C3/$C$9)</f>
        <v>1.8294084507042254E-2</v>
      </c>
      <c r="D81" s="223">
        <f t="shared" ref="D81:D86" si="4">$D$87*(B3/$B$9)</f>
        <v>2.3502249221183802</v>
      </c>
      <c r="E81" s="223">
        <f t="shared" ref="E81:E86" si="5">$E$87*(C3/$C$9)</f>
        <v>7.10281690140845E-2</v>
      </c>
      <c r="F81" s="223">
        <f>(0.25*B81+0.75*D81)</f>
        <v>1.9243708722741433</v>
      </c>
      <c r="G81" s="223">
        <f>(0.25*C81+0.75*E81)</f>
        <v>5.7844647887323943E-2</v>
      </c>
      <c r="J81" s="134" t="s">
        <v>231</v>
      </c>
      <c r="K81" s="126">
        <v>75</v>
      </c>
      <c r="L81" s="132">
        <v>0.94499999999999995</v>
      </c>
      <c r="M81" s="168">
        <f>'Incremental Cost'!$E$66</f>
        <v>750</v>
      </c>
      <c r="N81" s="135">
        <f>'Incremental Cost'!$C$66</f>
        <v>6600</v>
      </c>
      <c r="Q81" s="126">
        <v>1998</v>
      </c>
      <c r="R81" s="126" t="s">
        <v>89</v>
      </c>
    </row>
    <row r="82" spans="1:18" ht="15.75" x14ac:dyDescent="0.2">
      <c r="A82" s="60" t="s">
        <v>24</v>
      </c>
      <c r="B82" s="223">
        <f t="shared" ref="B82:B86" si="6">$B$87*(B4/$B$9)</f>
        <v>0.90463800623052959</v>
      </c>
      <c r="C82" s="223">
        <f t="shared" si="3"/>
        <v>2.6970140845070423E-2</v>
      </c>
      <c r="D82" s="223">
        <f t="shared" si="4"/>
        <v>3.2870657320872274</v>
      </c>
      <c r="E82" s="223">
        <f t="shared" si="5"/>
        <v>0.10471361502347416</v>
      </c>
      <c r="F82" s="223">
        <f t="shared" ref="F82:G94" si="7">(0.25*B82+0.75*D82)</f>
        <v>2.6914588006230526</v>
      </c>
      <c r="G82" s="223">
        <f t="shared" si="7"/>
        <v>8.5277746478873234E-2</v>
      </c>
      <c r="J82" s="134" t="s">
        <v>232</v>
      </c>
      <c r="K82" s="126">
        <v>100</v>
      </c>
      <c r="L82" s="132">
        <v>0.95</v>
      </c>
      <c r="M82" s="168">
        <f>'Incremental Cost'!$E$67</f>
        <v>750</v>
      </c>
      <c r="N82" s="135">
        <f>'Incremental Cost'!$C$67</f>
        <v>7700</v>
      </c>
      <c r="Q82" s="126">
        <v>1999</v>
      </c>
      <c r="R82" s="126" t="s">
        <v>89</v>
      </c>
    </row>
    <row r="83" spans="1:18" ht="15.75" x14ac:dyDescent="0.2">
      <c r="A83" s="60" t="s">
        <v>25</v>
      </c>
      <c r="B83" s="223">
        <f t="shared" si="6"/>
        <v>0.64084735202492216</v>
      </c>
      <c r="C83" s="223">
        <f t="shared" si="3"/>
        <v>1.4228732394366199E-2</v>
      </c>
      <c r="D83" s="223">
        <f t="shared" si="4"/>
        <v>2.3285638629283492</v>
      </c>
      <c r="E83" s="223">
        <f t="shared" si="5"/>
        <v>5.5244131455399061E-2</v>
      </c>
      <c r="F83" s="223">
        <f t="shared" si="7"/>
        <v>1.9066347352024924</v>
      </c>
      <c r="G83" s="223">
        <f t="shared" si="7"/>
        <v>4.4990281690140847E-2</v>
      </c>
      <c r="J83" s="134" t="s">
        <v>269</v>
      </c>
      <c r="K83" s="126">
        <v>125</v>
      </c>
      <c r="L83" s="132">
        <v>0.95</v>
      </c>
      <c r="M83" s="168">
        <f>'Incremental Cost'!$E$67</f>
        <v>750</v>
      </c>
      <c r="N83" s="135">
        <f>'Incremental Cost'!$C$67</f>
        <v>7700</v>
      </c>
      <c r="Q83" s="126">
        <v>2000</v>
      </c>
      <c r="R83" s="126" t="s">
        <v>89</v>
      </c>
    </row>
    <row r="84" spans="1:18" ht="15.75" x14ac:dyDescent="0.2">
      <c r="A84" s="60" t="s">
        <v>26</v>
      </c>
      <c r="B84" s="223">
        <f t="shared" si="6"/>
        <v>0.88377320872274157</v>
      </c>
      <c r="C84" s="223">
        <f t="shared" si="3"/>
        <v>2.3896338028169015E-2</v>
      </c>
      <c r="D84" s="223">
        <f t="shared" si="4"/>
        <v>3.2112520249221186</v>
      </c>
      <c r="E84" s="223">
        <f t="shared" si="5"/>
        <v>9.2779342723004685E-2</v>
      </c>
      <c r="F84" s="223">
        <f t="shared" si="7"/>
        <v>2.6293823208722746</v>
      </c>
      <c r="G84" s="223">
        <f t="shared" si="7"/>
        <v>7.555859154929577E-2</v>
      </c>
      <c r="J84" s="134" t="s">
        <v>270</v>
      </c>
      <c r="K84" s="126">
        <v>150</v>
      </c>
      <c r="L84" s="132">
        <v>0.95399999999999996</v>
      </c>
      <c r="M84" s="168">
        <f>'Incremental Cost'!$E$67</f>
        <v>750</v>
      </c>
      <c r="N84" s="135">
        <f>'Incremental Cost'!$C$67</f>
        <v>7700</v>
      </c>
      <c r="Q84" s="126">
        <v>2001</v>
      </c>
      <c r="R84" s="126" t="s">
        <v>88</v>
      </c>
    </row>
    <row r="85" spans="1:18" ht="15.75" x14ac:dyDescent="0.2">
      <c r="A85" s="60" t="s">
        <v>27</v>
      </c>
      <c r="B85" s="223">
        <f t="shared" si="6"/>
        <v>0.81521744548286601</v>
      </c>
      <c r="C85" s="223">
        <f t="shared" si="3"/>
        <v>2.0822535211267607E-2</v>
      </c>
      <c r="D85" s="223">
        <f t="shared" si="4"/>
        <v>2.9621498442367602</v>
      </c>
      <c r="E85" s="223">
        <f t="shared" si="5"/>
        <v>8.0845070422535206E-2</v>
      </c>
      <c r="F85" s="223">
        <f t="shared" si="7"/>
        <v>2.4254167445482864</v>
      </c>
      <c r="G85" s="223">
        <f t="shared" si="7"/>
        <v>6.5839436619718306E-2</v>
      </c>
      <c r="J85" s="134" t="s">
        <v>271</v>
      </c>
      <c r="K85" s="126">
        <v>200</v>
      </c>
      <c r="L85" s="132">
        <v>0.95399999999999996</v>
      </c>
      <c r="M85" s="168">
        <f>'Incremental Cost'!$E$67</f>
        <v>750</v>
      </c>
      <c r="N85" s="135">
        <f>'Incremental Cost'!$C$67</f>
        <v>7700</v>
      </c>
      <c r="Q85" s="126">
        <v>2002</v>
      </c>
      <c r="R85" s="126" t="s">
        <v>88</v>
      </c>
    </row>
    <row r="86" spans="1:18" ht="15.75" x14ac:dyDescent="0.2">
      <c r="A86" s="60" t="s">
        <v>28</v>
      </c>
      <c r="B86" s="223">
        <f t="shared" si="6"/>
        <v>0.59688224299065418</v>
      </c>
      <c r="C86" s="223">
        <f t="shared" si="3"/>
        <v>1.1650704225352113E-2</v>
      </c>
      <c r="D86" s="223">
        <f t="shared" si="4"/>
        <v>2.1688135514018692</v>
      </c>
      <c r="E86" s="223">
        <f t="shared" si="5"/>
        <v>4.5234741784037559E-2</v>
      </c>
      <c r="F86" s="223">
        <f t="shared" si="7"/>
        <v>1.7758307242990654</v>
      </c>
      <c r="G86" s="223">
        <f t="shared" si="7"/>
        <v>3.6838732394366198E-2</v>
      </c>
      <c r="J86" s="134" t="s">
        <v>233</v>
      </c>
      <c r="K86" s="126">
        <v>1</v>
      </c>
      <c r="L86" s="132">
        <v>0.85499999999999998</v>
      </c>
      <c r="M86" s="168">
        <f>'Incremental Cost'!$E$55</f>
        <v>613</v>
      </c>
      <c r="N86" s="135">
        <f>'Incremental Cost'!$C$55</f>
        <v>600</v>
      </c>
      <c r="Q86" s="126">
        <v>2003</v>
      </c>
      <c r="R86" s="126" t="s">
        <v>88</v>
      </c>
    </row>
    <row r="87" spans="1:18" ht="15.75" x14ac:dyDescent="0.2">
      <c r="A87" s="60" t="s">
        <v>29</v>
      </c>
      <c r="B87" s="224">
        <v>0.63786666666666669</v>
      </c>
      <c r="C87" s="224">
        <v>1.7600000000000001E-2</v>
      </c>
      <c r="D87" s="224">
        <v>2.3177333333333334</v>
      </c>
      <c r="E87" s="224">
        <v>6.8333333333333329E-2</v>
      </c>
      <c r="F87" s="223">
        <f t="shared" si="7"/>
        <v>1.8977666666666668</v>
      </c>
      <c r="G87" s="223">
        <f t="shared" si="7"/>
        <v>5.5649999999999998E-2</v>
      </c>
      <c r="J87" s="134" t="s">
        <v>234</v>
      </c>
      <c r="K87" s="126">
        <v>1.5</v>
      </c>
      <c r="L87" s="132">
        <v>0.86499999999999999</v>
      </c>
      <c r="M87" s="168">
        <f>'Incremental Cost'!$E$55</f>
        <v>613</v>
      </c>
      <c r="N87" s="135">
        <f>'Incremental Cost'!$C$55</f>
        <v>600</v>
      </c>
      <c r="Q87" s="126">
        <v>2004</v>
      </c>
      <c r="R87" s="126" t="s">
        <v>88</v>
      </c>
    </row>
    <row r="88" spans="1:18" ht="15.75" x14ac:dyDescent="0.2">
      <c r="A88" s="60" t="s">
        <v>30</v>
      </c>
      <c r="B88" s="223">
        <f t="shared" ref="B88:B95" si="8">$B$87*(B10/$B$9)</f>
        <v>0.22876760124610596</v>
      </c>
      <c r="C88" s="223">
        <f t="shared" ref="C88:C95" si="9">$C$87*(C10/$C$9)</f>
        <v>1.2543098591549298E-2</v>
      </c>
      <c r="D88" s="223">
        <f t="shared" ref="D88:D95" si="10">$D$87*(B10/$B$9)</f>
        <v>0.83124314641744557</v>
      </c>
      <c r="E88" s="223">
        <f t="shared" ref="E88:E95" si="11">$E$87*(C10/$C$9)</f>
        <v>4.8699530516431923E-2</v>
      </c>
      <c r="F88" s="223">
        <f t="shared" si="7"/>
        <v>0.68062426012461064</v>
      </c>
      <c r="G88" s="223">
        <f t="shared" si="7"/>
        <v>3.9660422535211265E-2</v>
      </c>
      <c r="J88" s="134" t="s">
        <v>235</v>
      </c>
      <c r="K88" s="126">
        <v>2</v>
      </c>
      <c r="L88" s="132">
        <v>0.86499999999999999</v>
      </c>
      <c r="M88" s="168">
        <f>'Incremental Cost'!$E$55</f>
        <v>613</v>
      </c>
      <c r="N88" s="135">
        <f>'Incremental Cost'!$C$55</f>
        <v>600</v>
      </c>
      <c r="Q88" s="126">
        <v>2005</v>
      </c>
      <c r="R88" s="126" t="s">
        <v>88</v>
      </c>
    </row>
    <row r="89" spans="1:18" ht="15.75" x14ac:dyDescent="0.2">
      <c r="A89" s="60" t="s">
        <v>31</v>
      </c>
      <c r="B89" s="223">
        <f t="shared" si="8"/>
        <v>0.64680872274143297</v>
      </c>
      <c r="C89" s="223">
        <f t="shared" si="9"/>
        <v>1.8294084507042254E-2</v>
      </c>
      <c r="D89" s="223">
        <f t="shared" si="10"/>
        <v>2.3502249221183802</v>
      </c>
      <c r="E89" s="223">
        <f t="shared" si="11"/>
        <v>7.10281690140845E-2</v>
      </c>
      <c r="F89" s="223">
        <f t="shared" si="7"/>
        <v>1.9243708722741433</v>
      </c>
      <c r="G89" s="223">
        <f t="shared" si="7"/>
        <v>5.7844647887323943E-2</v>
      </c>
      <c r="J89" s="134" t="s">
        <v>236</v>
      </c>
      <c r="K89" s="126">
        <v>3</v>
      </c>
      <c r="L89" s="132">
        <v>0.89500000000000002</v>
      </c>
      <c r="M89" s="168">
        <f>'Incremental Cost'!$E$55</f>
        <v>613</v>
      </c>
      <c r="N89" s="135">
        <f>'Incremental Cost'!$C$55</f>
        <v>600</v>
      </c>
      <c r="Q89" s="126">
        <v>2006</v>
      </c>
      <c r="R89" s="126" t="s">
        <v>90</v>
      </c>
    </row>
    <row r="90" spans="1:18" ht="15.75" x14ac:dyDescent="0.2">
      <c r="A90" s="60" t="s">
        <v>32</v>
      </c>
      <c r="B90" s="223">
        <f t="shared" si="8"/>
        <v>0.58868535825545176</v>
      </c>
      <c r="C90" s="223">
        <f t="shared" si="9"/>
        <v>1.4179154929577466E-2</v>
      </c>
      <c r="D90" s="223">
        <f t="shared" si="10"/>
        <v>2.1390295950155762</v>
      </c>
      <c r="E90" s="223">
        <f t="shared" si="11"/>
        <v>5.5051643192488259E-2</v>
      </c>
      <c r="F90" s="223">
        <f t="shared" si="7"/>
        <v>1.7514435358255451</v>
      </c>
      <c r="G90" s="223">
        <f t="shared" si="7"/>
        <v>4.4833521126760562E-2</v>
      </c>
      <c r="J90" s="134" t="s">
        <v>237</v>
      </c>
      <c r="K90" s="126">
        <v>5</v>
      </c>
      <c r="L90" s="132">
        <v>0.89500000000000002</v>
      </c>
      <c r="M90" s="168">
        <f>'Incremental Cost'!$E$56</f>
        <v>413</v>
      </c>
      <c r="N90" s="135">
        <f>'Incremental Cost'!$C$56</f>
        <v>900</v>
      </c>
      <c r="Q90" s="126">
        <v>2007</v>
      </c>
      <c r="R90" s="126" t="s">
        <v>90</v>
      </c>
    </row>
    <row r="91" spans="1:18" ht="15.75" x14ac:dyDescent="0.2">
      <c r="A91" s="60" t="s">
        <v>33</v>
      </c>
      <c r="B91" s="223">
        <f t="shared" si="8"/>
        <v>0.97915514018691596</v>
      </c>
      <c r="C91" s="223">
        <f t="shared" si="9"/>
        <v>3.5150422535211272E-2</v>
      </c>
      <c r="D91" s="223">
        <f t="shared" si="10"/>
        <v>3.5578289719626173</v>
      </c>
      <c r="E91" s="223">
        <f t="shared" si="11"/>
        <v>0.13647417840375586</v>
      </c>
      <c r="F91" s="223">
        <f t="shared" si="7"/>
        <v>2.913160514018692</v>
      </c>
      <c r="G91" s="223">
        <f t="shared" si="7"/>
        <v>0.11114323943661972</v>
      </c>
      <c r="J91" s="134" t="s">
        <v>238</v>
      </c>
      <c r="K91" s="126">
        <v>7.5</v>
      </c>
      <c r="L91" s="132">
        <v>0.91</v>
      </c>
      <c r="M91" s="168">
        <f>'Incremental Cost'!$E$57</f>
        <v>445</v>
      </c>
      <c r="N91" s="135">
        <f>'Incremental Cost'!$C$57</f>
        <v>1130</v>
      </c>
      <c r="Q91" s="126">
        <v>2008</v>
      </c>
      <c r="R91" s="126" t="s">
        <v>90</v>
      </c>
    </row>
    <row r="92" spans="1:18" ht="15.75" x14ac:dyDescent="0.2">
      <c r="A92" s="60" t="s">
        <v>34</v>
      </c>
      <c r="B92" s="223">
        <f t="shared" si="8"/>
        <v>0.49181308411214958</v>
      </c>
      <c r="C92" s="223">
        <f t="shared" si="9"/>
        <v>1.0460845070422536E-2</v>
      </c>
      <c r="D92" s="223">
        <f t="shared" si="10"/>
        <v>1.7870373831775703</v>
      </c>
      <c r="E92" s="223">
        <f t="shared" si="11"/>
        <v>4.0615023474178398E-2</v>
      </c>
      <c r="F92" s="223">
        <f t="shared" si="7"/>
        <v>1.4632313084112152</v>
      </c>
      <c r="G92" s="223">
        <f t="shared" si="7"/>
        <v>3.3076478873239432E-2</v>
      </c>
      <c r="J92" s="134" t="s">
        <v>239</v>
      </c>
      <c r="K92" s="126">
        <v>10</v>
      </c>
      <c r="L92" s="132">
        <v>0.91700000000000004</v>
      </c>
      <c r="M92" s="168">
        <f>'Incremental Cost'!$E$58</f>
        <v>400</v>
      </c>
      <c r="N92" s="135">
        <f>'Incremental Cost'!$C$58</f>
        <v>1350</v>
      </c>
      <c r="Q92" s="126">
        <v>2009</v>
      </c>
      <c r="R92" s="126" t="s">
        <v>90</v>
      </c>
    </row>
    <row r="93" spans="1:18" ht="15.75" x14ac:dyDescent="0.2">
      <c r="A93" s="60" t="s">
        <v>35</v>
      </c>
      <c r="B93" s="223">
        <f t="shared" si="8"/>
        <v>0.9955489096573209</v>
      </c>
      <c r="C93" s="223">
        <f t="shared" si="9"/>
        <v>3.4158873239436623E-2</v>
      </c>
      <c r="D93" s="223">
        <f t="shared" si="10"/>
        <v>3.6173968847352027</v>
      </c>
      <c r="E93" s="223">
        <f t="shared" si="11"/>
        <v>0.13262441314553991</v>
      </c>
      <c r="F93" s="223">
        <f t="shared" si="7"/>
        <v>2.9619348909657321</v>
      </c>
      <c r="G93" s="223">
        <f t="shared" si="7"/>
        <v>0.10800802816901409</v>
      </c>
      <c r="J93" s="134" t="s">
        <v>240</v>
      </c>
      <c r="K93" s="126">
        <v>15</v>
      </c>
      <c r="L93" s="132">
        <v>0.93</v>
      </c>
      <c r="M93" s="168">
        <f>'Incremental Cost'!$E$59</f>
        <v>463</v>
      </c>
      <c r="N93" s="135">
        <f>'Incremental Cost'!$C$59</f>
        <v>1800</v>
      </c>
      <c r="Q93" s="126">
        <v>2010</v>
      </c>
      <c r="R93" s="126" t="s">
        <v>90</v>
      </c>
    </row>
    <row r="94" spans="1:18" ht="15.75" x14ac:dyDescent="0.2">
      <c r="A94" s="60" t="s">
        <v>36</v>
      </c>
      <c r="B94" s="223">
        <f t="shared" si="8"/>
        <v>0.60880498442367603</v>
      </c>
      <c r="C94" s="223">
        <f t="shared" si="9"/>
        <v>1.5220281690140846E-2</v>
      </c>
      <c r="D94" s="223">
        <f t="shared" si="10"/>
        <v>2.2121356697819317</v>
      </c>
      <c r="E94" s="223">
        <f t="shared" si="11"/>
        <v>5.9093896713615014E-2</v>
      </c>
      <c r="F94" s="223">
        <f t="shared" si="7"/>
        <v>1.8113029984423679</v>
      </c>
      <c r="G94" s="223">
        <f t="shared" si="7"/>
        <v>4.8125492957746471E-2</v>
      </c>
      <c r="J94" s="134" t="s">
        <v>241</v>
      </c>
      <c r="K94" s="126">
        <v>20</v>
      </c>
      <c r="L94" s="132">
        <v>0.93</v>
      </c>
      <c r="M94" s="168">
        <f>'Incremental Cost'!$E$60</f>
        <v>238</v>
      </c>
      <c r="N94" s="135">
        <f>'Incremental Cost'!$C$60</f>
        <v>2300</v>
      </c>
      <c r="Q94" s="126">
        <v>2011</v>
      </c>
      <c r="R94" s="126" t="s">
        <v>91</v>
      </c>
    </row>
    <row r="95" spans="1:18" ht="15.75" x14ac:dyDescent="0.2">
      <c r="A95" s="125" t="s">
        <v>117</v>
      </c>
      <c r="B95" s="223">
        <f t="shared" si="8"/>
        <v>0.8457694704049844</v>
      </c>
      <c r="C95" s="223">
        <f t="shared" si="9"/>
        <v>2.4689577464788733E-2</v>
      </c>
      <c r="D95" s="223">
        <f t="shared" si="10"/>
        <v>3.0731627725856696</v>
      </c>
      <c r="E95" s="223">
        <f t="shared" si="11"/>
        <v>9.5859154929577459E-2</v>
      </c>
      <c r="F95" s="223">
        <f t="shared" ref="F95" si="12">(0.25*B95+0.75*D95)</f>
        <v>2.5163144470404983</v>
      </c>
      <c r="G95" s="223">
        <f t="shared" ref="G95" si="13">(0.25*C95+0.75*E95)</f>
        <v>7.8066760563380272E-2</v>
      </c>
      <c r="J95" s="134" t="s">
        <v>242</v>
      </c>
      <c r="K95" s="126">
        <v>25</v>
      </c>
      <c r="L95" s="132">
        <v>0.93600000000000005</v>
      </c>
      <c r="M95" s="168">
        <f>'Incremental Cost'!$E$61</f>
        <v>450</v>
      </c>
      <c r="N95" s="135">
        <f>'Incremental Cost'!$C$61</f>
        <v>2750</v>
      </c>
      <c r="Q95" s="126">
        <v>2012</v>
      </c>
      <c r="R95" s="126" t="s">
        <v>91</v>
      </c>
    </row>
    <row r="96" spans="1:18" x14ac:dyDescent="0.2">
      <c r="J96" s="134" t="s">
        <v>243</v>
      </c>
      <c r="K96" s="126">
        <v>30</v>
      </c>
      <c r="L96" s="132">
        <v>0.94099999999999995</v>
      </c>
      <c r="M96" s="168">
        <f>'Incremental Cost'!$E$62</f>
        <v>563</v>
      </c>
      <c r="N96" s="135">
        <f>'Incremental Cost'!$C$62</f>
        <v>3200</v>
      </c>
      <c r="Q96" s="126"/>
      <c r="R96" s="126"/>
    </row>
    <row r="97" spans="1:18" x14ac:dyDescent="0.2">
      <c r="A97" s="457" t="s">
        <v>332</v>
      </c>
      <c r="B97" s="458"/>
      <c r="C97" s="458"/>
      <c r="D97" s="459"/>
      <c r="E97" s="124" t="s">
        <v>328</v>
      </c>
      <c r="J97" s="134" t="s">
        <v>244</v>
      </c>
      <c r="K97" s="126">
        <v>40</v>
      </c>
      <c r="L97" s="132">
        <v>0.94099999999999995</v>
      </c>
      <c r="M97" s="168">
        <f>'Incremental Cost'!$E$63</f>
        <v>325</v>
      </c>
      <c r="N97" s="135">
        <f>'Incremental Cost'!$C$63</f>
        <v>4000</v>
      </c>
      <c r="Q97" s="126"/>
      <c r="R97" s="126"/>
    </row>
    <row r="98" spans="1:18" x14ac:dyDescent="0.2">
      <c r="A98" s="59" t="s">
        <v>19</v>
      </c>
      <c r="B98" s="59" t="s">
        <v>103</v>
      </c>
      <c r="J98" s="134" t="s">
        <v>245</v>
      </c>
      <c r="K98" s="126">
        <v>50</v>
      </c>
      <c r="L98" s="132">
        <v>0.94499999999999995</v>
      </c>
      <c r="M98" s="168">
        <f>'Incremental Cost'!$E$64</f>
        <v>450</v>
      </c>
      <c r="N98" s="135">
        <f>'Incremental Cost'!$C$64</f>
        <v>4900</v>
      </c>
      <c r="Q98" s="126">
        <v>2013</v>
      </c>
      <c r="R98" s="126" t="s">
        <v>91</v>
      </c>
    </row>
    <row r="99" spans="1:18" ht="15.75" x14ac:dyDescent="0.2">
      <c r="A99" s="60" t="s">
        <v>21</v>
      </c>
      <c r="B99" s="108">
        <f t="shared" ref="B99:B107" si="14">(B3/$B$13)*$B$109</f>
        <v>237.05956367326229</v>
      </c>
      <c r="J99" s="134" t="s">
        <v>246</v>
      </c>
      <c r="K99" s="126">
        <v>60</v>
      </c>
      <c r="L99" s="132">
        <v>0.95</v>
      </c>
      <c r="M99" s="168">
        <f>'Incremental Cost'!$E$65</f>
        <v>950</v>
      </c>
      <c r="N99" s="135">
        <f>'Incremental Cost'!$C$65</f>
        <v>5600</v>
      </c>
      <c r="Q99" s="126">
        <v>2014</v>
      </c>
      <c r="R99" s="126" t="s">
        <v>91</v>
      </c>
    </row>
    <row r="100" spans="1:18" ht="15.75" x14ac:dyDescent="0.2">
      <c r="A100" s="60" t="s">
        <v>24</v>
      </c>
      <c r="B100" s="108">
        <f t="shared" si="14"/>
        <v>331.55565702688989</v>
      </c>
      <c r="J100" s="134" t="s">
        <v>247</v>
      </c>
      <c r="K100" s="126">
        <v>75</v>
      </c>
      <c r="L100" s="132">
        <v>0.95</v>
      </c>
      <c r="M100" s="168">
        <f>'Incremental Cost'!$E$66</f>
        <v>750</v>
      </c>
      <c r="N100" s="135">
        <f>'Incremental Cost'!$C$66</f>
        <v>6600</v>
      </c>
      <c r="Q100" s="126">
        <v>2015</v>
      </c>
      <c r="R100" s="126" t="s">
        <v>91</v>
      </c>
    </row>
    <row r="101" spans="1:18" ht="15.75" x14ac:dyDescent="0.2">
      <c r="A101" s="60" t="s">
        <v>25</v>
      </c>
      <c r="B101" s="108">
        <f t="shared" si="14"/>
        <v>234.87468290208017</v>
      </c>
      <c r="J101" s="134" t="s">
        <v>248</v>
      </c>
      <c r="K101" s="126">
        <v>100</v>
      </c>
      <c r="L101" s="132">
        <v>0.95399999999999996</v>
      </c>
      <c r="M101" s="168">
        <f>'Incremental Cost'!$E$67</f>
        <v>750</v>
      </c>
      <c r="N101" s="135">
        <f>'Incremental Cost'!$C$67</f>
        <v>7700</v>
      </c>
      <c r="Q101" s="126">
        <v>2016</v>
      </c>
      <c r="R101" s="126" t="s">
        <v>91</v>
      </c>
    </row>
    <row r="102" spans="1:18" ht="15.75" x14ac:dyDescent="0.2">
      <c r="A102" s="60" t="s">
        <v>26</v>
      </c>
      <c r="B102" s="108">
        <f t="shared" si="14"/>
        <v>323.90857432775243</v>
      </c>
      <c r="J102" s="134" t="s">
        <v>272</v>
      </c>
      <c r="K102" s="126">
        <v>125</v>
      </c>
      <c r="L102" s="132">
        <v>0.95399999999999996</v>
      </c>
      <c r="M102" s="168">
        <f>'Incremental Cost'!$E$67</f>
        <v>750</v>
      </c>
      <c r="N102" s="135">
        <f>'Incremental Cost'!$C$67</f>
        <v>7700</v>
      </c>
    </row>
    <row r="103" spans="1:18" ht="15.75" x14ac:dyDescent="0.2">
      <c r="A103" s="60" t="s">
        <v>27</v>
      </c>
      <c r="B103" s="108">
        <f t="shared" si="14"/>
        <v>298.78244545915777</v>
      </c>
      <c r="J103" s="134" t="s">
        <v>273</v>
      </c>
      <c r="K103" s="126">
        <v>150</v>
      </c>
      <c r="L103" s="132">
        <v>0.95799999999999996</v>
      </c>
      <c r="M103" s="168">
        <f>'Incremental Cost'!$E$67</f>
        <v>750</v>
      </c>
      <c r="N103" s="135">
        <f>'Incremental Cost'!$C$67</f>
        <v>7700</v>
      </c>
    </row>
    <row r="104" spans="1:18" ht="15.75" x14ac:dyDescent="0.2">
      <c r="A104" s="60" t="s">
        <v>28</v>
      </c>
      <c r="B104" s="108">
        <f t="shared" si="14"/>
        <v>218.76118721461188</v>
      </c>
      <c r="J104" s="134" t="s">
        <v>274</v>
      </c>
      <c r="K104" s="126">
        <v>200</v>
      </c>
      <c r="L104" s="132">
        <v>0.95799999999999996</v>
      </c>
      <c r="M104" s="168">
        <f>'Incremental Cost'!$E$67</f>
        <v>750</v>
      </c>
      <c r="N104" s="135">
        <f>'Incremental Cost'!$C$67</f>
        <v>7700</v>
      </c>
    </row>
    <row r="105" spans="1:18" ht="15.75" x14ac:dyDescent="0.2">
      <c r="A105" s="60" t="s">
        <v>29</v>
      </c>
      <c r="B105" s="108">
        <f t="shared" si="14"/>
        <v>233.78224251648908</v>
      </c>
      <c r="J105" s="134" t="s">
        <v>249</v>
      </c>
      <c r="K105" s="126">
        <v>1</v>
      </c>
      <c r="L105" s="132">
        <v>0.77</v>
      </c>
      <c r="M105" s="168">
        <f>'Incremental Cost'!$E$55</f>
        <v>613</v>
      </c>
      <c r="N105" s="135">
        <f>'Incremental Cost'!$C$55</f>
        <v>600</v>
      </c>
    </row>
    <row r="106" spans="1:18" ht="15.75" x14ac:dyDescent="0.2">
      <c r="A106" s="60" t="s">
        <v>30</v>
      </c>
      <c r="B106" s="108">
        <f t="shared" si="14"/>
        <v>83.844799594114662</v>
      </c>
      <c r="J106" s="134" t="s">
        <v>250</v>
      </c>
      <c r="K106" s="126">
        <v>1.5</v>
      </c>
      <c r="L106" s="132">
        <v>0.84</v>
      </c>
      <c r="M106" s="168">
        <f>'Incremental Cost'!$E$55</f>
        <v>613</v>
      </c>
      <c r="N106" s="135">
        <f>'Incremental Cost'!$C$55</f>
        <v>600</v>
      </c>
    </row>
    <row r="107" spans="1:18" ht="15.75" x14ac:dyDescent="0.2">
      <c r="A107" s="60" t="s">
        <v>31</v>
      </c>
      <c r="B107" s="108">
        <f t="shared" si="14"/>
        <v>237.05956367326229</v>
      </c>
      <c r="J107" s="134" t="s">
        <v>251</v>
      </c>
      <c r="K107" s="126">
        <v>2</v>
      </c>
      <c r="L107" s="132">
        <v>0.85499999999999998</v>
      </c>
      <c r="M107" s="168">
        <f>'Incremental Cost'!$E$55</f>
        <v>613</v>
      </c>
      <c r="N107" s="135">
        <f>'Incremental Cost'!$C$55</f>
        <v>600</v>
      </c>
    </row>
    <row r="108" spans="1:18" ht="15.75" x14ac:dyDescent="0.2">
      <c r="A108" s="60" t="s">
        <v>32</v>
      </c>
      <c r="B108" s="108">
        <f>(B12/$B$13)*$B$109</f>
        <v>215.75697615423644</v>
      </c>
      <c r="J108" s="134" t="s">
        <v>252</v>
      </c>
      <c r="K108" s="126">
        <v>3</v>
      </c>
      <c r="L108" s="132">
        <v>0.85499999999999998</v>
      </c>
      <c r="M108" s="168">
        <f>'Incremental Cost'!$E$55</f>
        <v>613</v>
      </c>
      <c r="N108" s="135">
        <f>'Incremental Cost'!$C$55</f>
        <v>600</v>
      </c>
    </row>
    <row r="109" spans="1:18" ht="15.75" x14ac:dyDescent="0.2">
      <c r="A109" s="60" t="s">
        <v>33</v>
      </c>
      <c r="B109" s="108">
        <f>10766/30</f>
        <v>358.86666666666667</v>
      </c>
      <c r="J109" s="134" t="s">
        <v>253</v>
      </c>
      <c r="K109" s="126">
        <v>5</v>
      </c>
      <c r="L109" s="132">
        <v>0.86499999999999999</v>
      </c>
      <c r="M109" s="168">
        <f>'Incremental Cost'!$E$56</f>
        <v>413</v>
      </c>
      <c r="N109" s="135">
        <f>'Incremental Cost'!$C$56</f>
        <v>900</v>
      </c>
    </row>
    <row r="110" spans="1:18" ht="15.75" x14ac:dyDescent="0.2">
      <c r="A110" s="60" t="s">
        <v>34</v>
      </c>
      <c r="B110" s="108">
        <f>(B14/$B$13)*$B$109</f>
        <v>180.25266362252663</v>
      </c>
      <c r="J110" s="134" t="s">
        <v>254</v>
      </c>
      <c r="K110" s="126">
        <v>7.5</v>
      </c>
      <c r="L110" s="132">
        <v>0.88500000000000001</v>
      </c>
      <c r="M110" s="168">
        <f>'Incremental Cost'!$E$57</f>
        <v>445</v>
      </c>
      <c r="N110" s="135">
        <f>'Incremental Cost'!$C$57</f>
        <v>1130</v>
      </c>
    </row>
    <row r="111" spans="1:18" ht="15.75" x14ac:dyDescent="0.2">
      <c r="A111" s="60" t="s">
        <v>35</v>
      </c>
      <c r="B111" s="108">
        <f>(B15/$B$13)*$B$109</f>
        <v>364.87508878741755</v>
      </c>
      <c r="J111" s="134" t="s">
        <v>255</v>
      </c>
      <c r="K111" s="126">
        <v>10</v>
      </c>
      <c r="L111" s="132">
        <v>0.89500000000000002</v>
      </c>
      <c r="M111" s="168">
        <f>'Incremental Cost'!$E$58</f>
        <v>400</v>
      </c>
      <c r="N111" s="135">
        <f>'Incremental Cost'!$C$58</f>
        <v>1350</v>
      </c>
    </row>
    <row r="112" spans="1:18" ht="15.75" x14ac:dyDescent="0.2">
      <c r="A112" s="60" t="s">
        <v>36</v>
      </c>
      <c r="B112" s="108">
        <f>(B16/$B$13)*$B$109</f>
        <v>223.13094875697615</v>
      </c>
      <c r="J112" s="134" t="s">
        <v>256</v>
      </c>
      <c r="K112" s="126">
        <v>15</v>
      </c>
      <c r="L112" s="132">
        <v>0.90200000000000002</v>
      </c>
      <c r="M112" s="168">
        <f>'Incremental Cost'!$E$59</f>
        <v>463</v>
      </c>
      <c r="N112" s="135">
        <f>'Incremental Cost'!$C$59</f>
        <v>1800</v>
      </c>
    </row>
    <row r="113" spans="1:14" ht="15.75" x14ac:dyDescent="0.2">
      <c r="A113" s="125" t="s">
        <v>117</v>
      </c>
      <c r="B113" s="108">
        <f>(B17/$B$13)*$B$109</f>
        <v>309.97995941146627</v>
      </c>
      <c r="J113" s="134" t="s">
        <v>257</v>
      </c>
      <c r="K113" s="126">
        <v>20</v>
      </c>
      <c r="L113" s="132">
        <v>0.91</v>
      </c>
      <c r="M113" s="168">
        <f>'Incremental Cost'!$E$60</f>
        <v>238</v>
      </c>
      <c r="N113" s="135">
        <f>'Incremental Cost'!$C$60</f>
        <v>2300</v>
      </c>
    </row>
    <row r="114" spans="1:14" x14ac:dyDescent="0.2">
      <c r="J114" s="134" t="s">
        <v>258</v>
      </c>
      <c r="K114" s="126">
        <v>25</v>
      </c>
      <c r="L114" s="132">
        <v>0.91700000000000004</v>
      </c>
      <c r="M114" s="168">
        <f>'Incremental Cost'!$E$61</f>
        <v>450</v>
      </c>
      <c r="N114" s="135">
        <f>'Incremental Cost'!$C$61</f>
        <v>2750</v>
      </c>
    </row>
    <row r="115" spans="1:14" x14ac:dyDescent="0.2">
      <c r="J115" s="134" t="s">
        <v>259</v>
      </c>
      <c r="K115" s="126">
        <v>30</v>
      </c>
      <c r="L115" s="132">
        <v>0.91700000000000004</v>
      </c>
      <c r="M115" s="168">
        <f>'Incremental Cost'!$E$62</f>
        <v>563</v>
      </c>
      <c r="N115" s="135">
        <f>'Incremental Cost'!$C$62</f>
        <v>3200</v>
      </c>
    </row>
    <row r="116" spans="1:14" x14ac:dyDescent="0.2">
      <c r="J116" s="134" t="s">
        <v>260</v>
      </c>
      <c r="K116" s="126">
        <v>40</v>
      </c>
      <c r="L116" s="132">
        <v>0.92400000000000004</v>
      </c>
      <c r="M116" s="168">
        <f>'Incremental Cost'!$E$63</f>
        <v>325</v>
      </c>
      <c r="N116" s="135">
        <f>'Incremental Cost'!$C$63</f>
        <v>4000</v>
      </c>
    </row>
    <row r="117" spans="1:14" x14ac:dyDescent="0.2">
      <c r="J117" s="134" t="s">
        <v>261</v>
      </c>
      <c r="K117" s="126">
        <v>50</v>
      </c>
      <c r="L117" s="132">
        <v>0.93</v>
      </c>
      <c r="M117" s="168">
        <f>'Incremental Cost'!$E$64</f>
        <v>450</v>
      </c>
      <c r="N117" s="135">
        <f>'Incremental Cost'!$C$64</f>
        <v>4900</v>
      </c>
    </row>
    <row r="118" spans="1:14" x14ac:dyDescent="0.2">
      <c r="J118" s="134" t="s">
        <v>262</v>
      </c>
      <c r="K118" s="126">
        <v>60</v>
      </c>
      <c r="L118" s="132">
        <v>0.93600000000000005</v>
      </c>
      <c r="M118" s="168">
        <f>'Incremental Cost'!$E$65</f>
        <v>950</v>
      </c>
      <c r="N118" s="135">
        <f>'Incremental Cost'!$C$65</f>
        <v>5600</v>
      </c>
    </row>
    <row r="119" spans="1:14" x14ac:dyDescent="0.2">
      <c r="J119" s="134" t="s">
        <v>263</v>
      </c>
      <c r="K119" s="126">
        <v>75</v>
      </c>
      <c r="L119" s="132">
        <v>0.93600000000000005</v>
      </c>
      <c r="M119" s="168">
        <f>'Incremental Cost'!$E$66</f>
        <v>750</v>
      </c>
      <c r="N119" s="135">
        <f>'Incremental Cost'!$C$66</f>
        <v>6600</v>
      </c>
    </row>
    <row r="120" spans="1:14" x14ac:dyDescent="0.2">
      <c r="J120" s="134" t="s">
        <v>264</v>
      </c>
      <c r="K120" s="126">
        <v>100</v>
      </c>
      <c r="L120" s="132">
        <v>0.93600000000000005</v>
      </c>
      <c r="M120" s="168">
        <f>'Incremental Cost'!$E$67</f>
        <v>750</v>
      </c>
      <c r="N120" s="135">
        <f>'Incremental Cost'!$C$67</f>
        <v>7700</v>
      </c>
    </row>
    <row r="121" spans="1:14" x14ac:dyDescent="0.2">
      <c r="J121" s="134" t="s">
        <v>275</v>
      </c>
      <c r="K121" s="126">
        <v>125</v>
      </c>
      <c r="L121" s="132">
        <v>0.94099999999999995</v>
      </c>
      <c r="M121" s="168">
        <f>'Incremental Cost'!$E$67</f>
        <v>750</v>
      </c>
      <c r="N121" s="135">
        <f>'Incremental Cost'!$C$67</f>
        <v>7700</v>
      </c>
    </row>
    <row r="122" spans="1:14" x14ac:dyDescent="0.2">
      <c r="J122" s="134" t="s">
        <v>276</v>
      </c>
      <c r="K122" s="126">
        <v>150</v>
      </c>
      <c r="L122" s="132">
        <v>0.94099999999999995</v>
      </c>
      <c r="M122" s="168">
        <f>'Incremental Cost'!$E$67</f>
        <v>750</v>
      </c>
      <c r="N122" s="135">
        <f>'Incremental Cost'!$C$67</f>
        <v>7700</v>
      </c>
    </row>
    <row r="123" spans="1:14" x14ac:dyDescent="0.2">
      <c r="J123" s="134" t="s">
        <v>277</v>
      </c>
      <c r="K123" s="126">
        <v>200</v>
      </c>
      <c r="L123" s="132">
        <v>0.95</v>
      </c>
      <c r="M123" s="168">
        <f>'Incremental Cost'!$E$67</f>
        <v>750</v>
      </c>
      <c r="N123" s="135">
        <f>'Incremental Cost'!$C$67</f>
        <v>7700</v>
      </c>
    </row>
  </sheetData>
  <sheetProtection selectLockedCells="1"/>
  <mergeCells count="15">
    <mergeCell ref="L2:M2"/>
    <mergeCell ref="H2:J2"/>
    <mergeCell ref="A21:N21"/>
    <mergeCell ref="J65:M65"/>
    <mergeCell ref="A97:D97"/>
    <mergeCell ref="A23:C23"/>
    <mergeCell ref="E23:N23"/>
    <mergeCell ref="A31:B31"/>
    <mergeCell ref="A34:H34"/>
    <mergeCell ref="A61:D61"/>
    <mergeCell ref="A77:D77"/>
    <mergeCell ref="A36:D36"/>
    <mergeCell ref="A42:D42"/>
    <mergeCell ref="A46:D46"/>
    <mergeCell ref="D66:F66"/>
  </mergeCells>
  <hyperlinks>
    <hyperlink ref="H4" r:id="rId1" xr:uid="{00000000-0004-0000-0100-000000000000}"/>
  </hyperlinks>
  <pageMargins left="0.7" right="0.7" top="0.75" bottom="0.75" header="0.3" footer="0.3"/>
  <pageSetup orientation="portrait" verticalDpi="120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128"/>
  <sheetViews>
    <sheetView topLeftCell="A91" workbookViewId="0">
      <selection activeCell="B121" sqref="B121"/>
    </sheetView>
  </sheetViews>
  <sheetFormatPr defaultRowHeight="12.75" x14ac:dyDescent="0.2"/>
  <cols>
    <col min="1" max="1" width="81.5703125" customWidth="1"/>
    <col min="2" max="2" width="15.85546875" customWidth="1"/>
    <col min="3" max="3" width="17" customWidth="1"/>
    <col min="4" max="4" width="16.42578125" customWidth="1"/>
    <col min="5" max="5" width="17.85546875" customWidth="1"/>
    <col min="6" max="6" width="20" customWidth="1"/>
    <col min="7" max="7" width="18.140625" customWidth="1"/>
    <col min="8" max="8" width="17" customWidth="1"/>
    <col min="9" max="9" width="16.85546875" customWidth="1"/>
    <col min="10" max="10" width="19.85546875" customWidth="1"/>
    <col min="11" max="11" width="60.140625" customWidth="1"/>
    <col min="12" max="12" width="18.7109375" customWidth="1"/>
    <col min="13" max="13" width="23.28515625" bestFit="1" customWidth="1"/>
    <col min="14" max="14" width="14.140625" customWidth="1"/>
    <col min="15" max="15" width="37.5703125" customWidth="1"/>
    <col min="16" max="17" width="13.42578125" customWidth="1"/>
    <col min="18" max="18" width="12.42578125" customWidth="1"/>
    <col min="19" max="19" width="12.7109375" customWidth="1"/>
  </cols>
  <sheetData>
    <row r="1" spans="1:24" x14ac:dyDescent="0.2">
      <c r="A1" s="465" t="s">
        <v>53</v>
      </c>
      <c r="B1" s="465"/>
      <c r="C1" s="465"/>
      <c r="D1" s="465"/>
      <c r="E1" s="465"/>
      <c r="F1" s="184"/>
      <c r="G1" s="184"/>
      <c r="H1" s="184"/>
      <c r="I1" s="184"/>
      <c r="J1" s="184"/>
      <c r="K1" s="185" t="s">
        <v>288</v>
      </c>
    </row>
    <row r="2" spans="1:24" ht="38.25" customHeight="1" x14ac:dyDescent="0.2">
      <c r="A2" s="479"/>
      <c r="B2" s="480"/>
      <c r="C2" s="480"/>
      <c r="D2" s="476" t="s">
        <v>55</v>
      </c>
      <c r="E2" s="477"/>
      <c r="F2" s="477"/>
      <c r="G2" s="478"/>
      <c r="H2" s="473" t="s">
        <v>56</v>
      </c>
      <c r="I2" s="474"/>
      <c r="J2" s="307" t="s">
        <v>377</v>
      </c>
      <c r="K2" s="205" t="s">
        <v>378</v>
      </c>
      <c r="L2" s="306" t="s">
        <v>380</v>
      </c>
      <c r="M2" s="306" t="s">
        <v>381</v>
      </c>
    </row>
    <row r="3" spans="1:24" ht="63.75" x14ac:dyDescent="0.2">
      <c r="A3" s="88" t="s">
        <v>54</v>
      </c>
      <c r="B3" s="139" t="s">
        <v>374</v>
      </c>
      <c r="C3" s="59"/>
      <c r="D3" s="130" t="s">
        <v>122</v>
      </c>
      <c r="E3" s="128" t="s">
        <v>121</v>
      </c>
      <c r="F3" s="128" t="s">
        <v>123</v>
      </c>
      <c r="G3" s="84" t="s">
        <v>120</v>
      </c>
      <c r="H3" s="84" t="s">
        <v>124</v>
      </c>
      <c r="I3" s="84" t="s">
        <v>379</v>
      </c>
      <c r="J3" s="181" t="s">
        <v>57</v>
      </c>
      <c r="K3" s="126"/>
      <c r="L3" s="134"/>
      <c r="M3" s="134"/>
      <c r="P3" s="280" t="s">
        <v>385</v>
      </c>
      <c r="Q3" s="280" t="s">
        <v>386</v>
      </c>
      <c r="R3" s="280" t="s">
        <v>363</v>
      </c>
      <c r="S3" s="280" t="s">
        <v>364</v>
      </c>
      <c r="T3" s="280" t="s">
        <v>365</v>
      </c>
    </row>
    <row r="4" spans="1:24" x14ac:dyDescent="0.2">
      <c r="A4" s="175" t="s">
        <v>58</v>
      </c>
      <c r="B4" s="176">
        <v>175</v>
      </c>
      <c r="C4" s="177"/>
      <c r="D4" s="85">
        <v>3000</v>
      </c>
      <c r="E4" s="129">
        <v>0.8</v>
      </c>
      <c r="F4" s="85">
        <v>3500</v>
      </c>
      <c r="G4" s="129">
        <v>0.85</v>
      </c>
      <c r="H4" s="85">
        <v>4600</v>
      </c>
      <c r="I4" s="187">
        <f>H4/B4</f>
        <v>26.285714285714285</v>
      </c>
      <c r="J4" s="182">
        <f t="shared" ref="J4:J10" si="0">(H4-D4)/B4</f>
        <v>9.1428571428571423</v>
      </c>
      <c r="K4" s="126"/>
      <c r="L4" s="126"/>
      <c r="M4" s="126"/>
      <c r="O4" s="140" t="s">
        <v>387</v>
      </c>
      <c r="P4" s="319">
        <v>1</v>
      </c>
      <c r="Q4" s="279">
        <f>IFERROR((((S4-R4)*10)*Lookups!$M$4*T4)/'HVAC Rebate Estimator'!$U15*P4,0)</f>
        <v>0</v>
      </c>
      <c r="R4" s="248" t="str">
        <f>IFERROR((((('HVAC Rebate Estimator'!$D15*1000)*92%/(IF('HVAC Rebate Estimator'!$H15="yes",'HVAC Rebate Estimator'!$J15*(1-Lookups!$I$10)^(2016-'HVAC Rebate Estimator'!$L15),Lookups!$B$30)))-('HVAC Rebate Estimator'!$D15*1000))*'HVAC Rebate Estimator'!$N15/1000000)*'HVAC Rebate Estimator'!$B15,"")</f>
        <v/>
      </c>
      <c r="S4" s="248" t="str">
        <f>IFERROR((((('HVAC Rebate Estimator'!$D15*1000)*'HVAC Rebate Estimator'!$F15/(IF('HVAC Rebate Estimator'!$H15="yes",'HVAC Rebate Estimator'!$J15*(1-Lookups!$I$10)^(2016-'HVAC Rebate Estimator'!$L15),Lookups!$B$30)))-('HVAC Rebate Estimator'!$D15*1000))*'HVAC Rebate Estimator'!$N15/1000000)*'HVAC Rebate Estimator'!$B15,"")</f>
        <v/>
      </c>
      <c r="T4" s="254" t="e">
        <f>(IF('HVAC Rebate Estimator'!$H15="yes",'Incremental Cost'!$M$11*'HVAC Rebate Estimator'!$U15,'Incremental Cost'!$L$11*'HVAC Rebate Estimator'!$U15)+'HVAC Rebate Estimator'!$X15)/(('HVAC Rebate Estimator'!$O15*10)*Lookups!$M$4)</f>
        <v>#VALUE!</v>
      </c>
    </row>
    <row r="5" spans="1:24" x14ac:dyDescent="0.2">
      <c r="A5" s="175" t="s">
        <v>59</v>
      </c>
      <c r="B5" s="176">
        <v>500</v>
      </c>
      <c r="C5" s="177"/>
      <c r="D5" s="85">
        <v>5000</v>
      </c>
      <c r="E5" s="129">
        <v>0.8</v>
      </c>
      <c r="F5" s="85">
        <v>9000</v>
      </c>
      <c r="G5" s="129">
        <v>0.85</v>
      </c>
      <c r="H5" s="85">
        <v>11200</v>
      </c>
      <c r="I5" s="187">
        <f t="shared" ref="I5:I10" si="1">H5/B5</f>
        <v>22.4</v>
      </c>
      <c r="J5" s="182">
        <f t="shared" si="0"/>
        <v>12.4</v>
      </c>
      <c r="K5" s="126"/>
      <c r="L5" s="126"/>
      <c r="M5" s="126"/>
      <c r="O5" s="140" t="s">
        <v>387</v>
      </c>
      <c r="P5" s="319">
        <v>1</v>
      </c>
      <c r="Q5" s="279">
        <f>IFERROR((((S5-R5)*10)*Lookups!$M$4*T5)/'HVAC Rebate Estimator'!$U16*P5,0)</f>
        <v>0</v>
      </c>
      <c r="R5" s="248" t="str">
        <f>IFERROR((((('HVAC Rebate Estimator'!$D16*1000)*92%/(IF('HVAC Rebate Estimator'!$H16="yes",'HVAC Rebate Estimator'!$J16*(1-Lookups!$I$10)^(2016-'HVAC Rebate Estimator'!$L16),Lookups!$B$30)))-('HVAC Rebate Estimator'!$D16*1000))*'HVAC Rebate Estimator'!$N16/1000000)*'HVAC Rebate Estimator'!$B16,"")</f>
        <v/>
      </c>
      <c r="S5" s="248" t="str">
        <f>IFERROR((((('HVAC Rebate Estimator'!$D16*1000)*'HVAC Rebate Estimator'!$F16/(IF('HVAC Rebate Estimator'!$H16="yes",'HVAC Rebate Estimator'!$J16*(1-Lookups!$I$10)^(2016-'HVAC Rebate Estimator'!$L16),Lookups!$B$30)))-('HVAC Rebate Estimator'!$D16*1000))*'HVAC Rebate Estimator'!$N16/1000000)*'HVAC Rebate Estimator'!$B16,"")</f>
        <v/>
      </c>
      <c r="T5" s="254" t="e">
        <f>(IF('HVAC Rebate Estimator'!$H16="yes",'Incremental Cost'!$M$11*'HVAC Rebate Estimator'!$U16,'Incremental Cost'!$L$11*'HVAC Rebate Estimator'!$U16)+'HVAC Rebate Estimator'!$X16)/(('HVAC Rebate Estimator'!$O16*10)*Lookups!$M$4)</f>
        <v>#VALUE!</v>
      </c>
    </row>
    <row r="6" spans="1:24" x14ac:dyDescent="0.2">
      <c r="A6" s="175" t="s">
        <v>60</v>
      </c>
      <c r="B6" s="176">
        <v>1000</v>
      </c>
      <c r="C6" s="177"/>
      <c r="D6" s="85">
        <v>7300</v>
      </c>
      <c r="E6" s="129">
        <v>0.8</v>
      </c>
      <c r="F6" s="85">
        <v>11700</v>
      </c>
      <c r="G6" s="129">
        <v>0.85</v>
      </c>
      <c r="H6" s="85">
        <v>15000</v>
      </c>
      <c r="I6" s="187">
        <f t="shared" si="1"/>
        <v>15</v>
      </c>
      <c r="J6" s="182">
        <f t="shared" si="0"/>
        <v>7.7</v>
      </c>
      <c r="K6" s="126"/>
      <c r="L6" s="126"/>
      <c r="M6" s="126"/>
      <c r="O6" s="140" t="s">
        <v>387</v>
      </c>
      <c r="P6" s="319">
        <v>1</v>
      </c>
      <c r="Q6" s="279">
        <f>IFERROR((((S6-R6)*10)*Lookups!$M$4*T6)/'HVAC Rebate Estimator'!$U17*P6,0)</f>
        <v>0</v>
      </c>
      <c r="R6" s="248" t="str">
        <f>IFERROR((((('HVAC Rebate Estimator'!$D17*1000)*92%/(IF('HVAC Rebate Estimator'!$H17="yes",'HVAC Rebate Estimator'!$J17*(1-Lookups!$I$10)^(2016-'HVAC Rebate Estimator'!$L17),Lookups!$B$30)))-('HVAC Rebate Estimator'!$D17*1000))*'HVAC Rebate Estimator'!$N17/1000000)*'HVAC Rebate Estimator'!$B17,"")</f>
        <v/>
      </c>
      <c r="S6" s="248" t="str">
        <f>IFERROR((((('HVAC Rebate Estimator'!$D17*1000)*'HVAC Rebate Estimator'!$F17/(IF('HVAC Rebate Estimator'!$H17="yes",'HVAC Rebate Estimator'!$J17*(1-Lookups!$I$10)^(2016-'HVAC Rebate Estimator'!$L17),Lookups!$B$30)))-('HVAC Rebate Estimator'!$D17*1000))*'HVAC Rebate Estimator'!$N17/1000000)*'HVAC Rebate Estimator'!$B17,"")</f>
        <v/>
      </c>
      <c r="T6" s="254" t="e">
        <f>(IF('HVAC Rebate Estimator'!$H17="yes",'Incremental Cost'!$M$11*'HVAC Rebate Estimator'!$U17,'Incremental Cost'!$L$11*'HVAC Rebate Estimator'!$U17)+'HVAC Rebate Estimator'!$X17)/(('HVAC Rebate Estimator'!$O17*10)*Lookups!$M$4)</f>
        <v>#VALUE!</v>
      </c>
    </row>
    <row r="7" spans="1:24" x14ac:dyDescent="0.2">
      <c r="A7" s="175" t="s">
        <v>61</v>
      </c>
      <c r="B7" s="176">
        <v>2000</v>
      </c>
      <c r="C7" s="177"/>
      <c r="D7" s="85">
        <v>12000</v>
      </c>
      <c r="E7" s="129">
        <v>0.8</v>
      </c>
      <c r="F7" s="85">
        <v>17000</v>
      </c>
      <c r="G7" s="129">
        <v>0.85</v>
      </c>
      <c r="H7" s="85">
        <v>26500</v>
      </c>
      <c r="I7" s="187">
        <f t="shared" si="1"/>
        <v>13.25</v>
      </c>
      <c r="J7" s="182">
        <f t="shared" si="0"/>
        <v>7.25</v>
      </c>
      <c r="K7" s="126"/>
      <c r="L7" s="126"/>
      <c r="M7" s="126"/>
      <c r="O7" s="140" t="s">
        <v>387</v>
      </c>
      <c r="P7" s="319">
        <v>1</v>
      </c>
      <c r="Q7" s="279">
        <f>IFERROR((((S7-R7)*10)*Lookups!$M$4*T7)/'HVAC Rebate Estimator'!$U18*P7,0)</f>
        <v>0</v>
      </c>
      <c r="R7" s="248" t="str">
        <f>IFERROR((((('HVAC Rebate Estimator'!$D18*1000)*92%/(IF('HVAC Rebate Estimator'!$H18="yes",'HVAC Rebate Estimator'!$J18*(1-Lookups!$I$10)^(2016-'HVAC Rebate Estimator'!$L18),Lookups!$B$30)))-('HVAC Rebate Estimator'!$D18*1000))*'HVAC Rebate Estimator'!$N18/1000000)*'HVAC Rebate Estimator'!$B18,"")</f>
        <v/>
      </c>
      <c r="S7" s="248" t="str">
        <f>IFERROR((((('HVAC Rebate Estimator'!$D18*1000)*'HVAC Rebate Estimator'!$F18/(IF('HVAC Rebate Estimator'!$H18="yes",'HVAC Rebate Estimator'!$J18*(1-Lookups!$I$10)^(2016-'HVAC Rebate Estimator'!$L18),Lookups!$B$30)))-('HVAC Rebate Estimator'!$D18*1000))*'HVAC Rebate Estimator'!$N18/1000000)*'HVAC Rebate Estimator'!$B18,"")</f>
        <v/>
      </c>
      <c r="T7" s="254" t="e">
        <f>(IF('HVAC Rebate Estimator'!$H18="yes",'Incremental Cost'!$M$11*'HVAC Rebate Estimator'!$U18,'Incremental Cost'!$L$11*'HVAC Rebate Estimator'!$U18)+'HVAC Rebate Estimator'!$X18)/(('HVAC Rebate Estimator'!$O18*10)*Lookups!$M$4)</f>
        <v>#VALUE!</v>
      </c>
      <c r="U7" s="278"/>
    </row>
    <row r="8" spans="1:24" x14ac:dyDescent="0.2">
      <c r="A8" s="175" t="s">
        <v>62</v>
      </c>
      <c r="B8" s="176">
        <v>4000</v>
      </c>
      <c r="C8" s="177"/>
      <c r="D8" s="85">
        <v>24000</v>
      </c>
      <c r="E8" s="129">
        <v>0.8</v>
      </c>
      <c r="F8" s="85">
        <v>34000</v>
      </c>
      <c r="G8" s="129">
        <v>0.85</v>
      </c>
      <c r="H8" s="85">
        <v>53000</v>
      </c>
      <c r="I8" s="187">
        <f t="shared" si="1"/>
        <v>13.25</v>
      </c>
      <c r="J8" s="182">
        <f t="shared" si="0"/>
        <v>7.25</v>
      </c>
      <c r="K8" s="126"/>
      <c r="L8" s="126"/>
      <c r="M8" s="126"/>
      <c r="O8" s="140" t="s">
        <v>387</v>
      </c>
      <c r="P8" s="319">
        <v>1</v>
      </c>
      <c r="Q8" s="279">
        <f>IFERROR((((S8-R8)*10)*Lookups!$M$4*T8)/'HVAC Rebate Estimator'!$U19*P8,0)</f>
        <v>0</v>
      </c>
      <c r="R8" s="248" t="str">
        <f>IFERROR((((('HVAC Rebate Estimator'!$D19*1000)*92%/(IF('HVAC Rebate Estimator'!$H19="yes",'HVAC Rebate Estimator'!$J19*(1-Lookups!$I$10)^(2016-'HVAC Rebate Estimator'!$L19),Lookups!$B$30)))-('HVAC Rebate Estimator'!$D19*1000))*'HVAC Rebate Estimator'!$N19/1000000)*'HVAC Rebate Estimator'!$B19,"")</f>
        <v/>
      </c>
      <c r="S8" s="248" t="str">
        <f>IFERROR((((('HVAC Rebate Estimator'!$D19*1000)*'HVAC Rebate Estimator'!$F19/(IF('HVAC Rebate Estimator'!$H19="yes",'HVAC Rebate Estimator'!$J19*(1-Lookups!$I$10)^(2016-'HVAC Rebate Estimator'!$L19),Lookups!$B$30)))-('HVAC Rebate Estimator'!$D19*1000))*'HVAC Rebate Estimator'!$N19/1000000)*'HVAC Rebate Estimator'!$B19,"")</f>
        <v/>
      </c>
      <c r="T8" s="254" t="e">
        <f>(IF('HVAC Rebate Estimator'!$H19="yes",'Incremental Cost'!$M$11*'HVAC Rebate Estimator'!$U19,'Incremental Cost'!$L$11*'HVAC Rebate Estimator'!$U19)+'HVAC Rebate Estimator'!$X19)/(('HVAC Rebate Estimator'!$O19*10)*Lookups!$M$4)</f>
        <v>#VALUE!</v>
      </c>
      <c r="U8" s="278"/>
      <c r="W8" s="278"/>
      <c r="X8" s="278"/>
    </row>
    <row r="9" spans="1:24" x14ac:dyDescent="0.2">
      <c r="A9" s="175" t="s">
        <v>63</v>
      </c>
      <c r="B9" s="176">
        <v>6000</v>
      </c>
      <c r="C9" s="177"/>
      <c r="D9" s="85">
        <v>36000</v>
      </c>
      <c r="E9" s="129">
        <v>0.8</v>
      </c>
      <c r="F9" s="85">
        <v>51000</v>
      </c>
      <c r="G9" s="129">
        <v>0.85</v>
      </c>
      <c r="H9" s="85">
        <v>79500</v>
      </c>
      <c r="I9" s="187">
        <f t="shared" si="1"/>
        <v>13.25</v>
      </c>
      <c r="J9" s="182">
        <f t="shared" si="0"/>
        <v>7.25</v>
      </c>
      <c r="K9" s="126"/>
      <c r="L9" s="126"/>
      <c r="M9" s="126"/>
      <c r="P9" s="275"/>
      <c r="Q9" s="281"/>
      <c r="R9" s="276"/>
      <c r="S9" s="277"/>
      <c r="T9" s="162"/>
      <c r="U9" s="278"/>
      <c r="W9" s="278"/>
      <c r="X9" s="278"/>
    </row>
    <row r="10" spans="1:24" ht="13.5" thickBot="1" x14ac:dyDescent="0.25">
      <c r="A10" s="178" t="s">
        <v>64</v>
      </c>
      <c r="B10" s="179">
        <v>8000</v>
      </c>
      <c r="C10" s="180"/>
      <c r="D10" s="86">
        <v>48000</v>
      </c>
      <c r="E10" s="133">
        <v>0.8</v>
      </c>
      <c r="F10" s="86">
        <v>68000</v>
      </c>
      <c r="G10" s="133">
        <v>0.85</v>
      </c>
      <c r="H10" s="86">
        <v>106000</v>
      </c>
      <c r="I10" s="187">
        <f t="shared" si="1"/>
        <v>13.25</v>
      </c>
      <c r="J10" s="183">
        <f t="shared" si="0"/>
        <v>7.25</v>
      </c>
      <c r="K10" s="126"/>
      <c r="L10" s="126"/>
      <c r="M10" s="126"/>
      <c r="P10" s="275"/>
      <c r="Q10" s="276"/>
      <c r="R10" s="276"/>
      <c r="S10" s="277"/>
      <c r="T10" s="162"/>
      <c r="U10" s="278"/>
      <c r="W10" s="278"/>
      <c r="X10" s="278"/>
    </row>
    <row r="11" spans="1:24" x14ac:dyDescent="0.2">
      <c r="H11" s="124" t="s">
        <v>289</v>
      </c>
      <c r="I11" s="298">
        <f>AVERAGE(I4:I10)</f>
        <v>16.66938775510204</v>
      </c>
      <c r="J11" s="298">
        <f>AVERAGE(J4:J10)</f>
        <v>8.3204081632653075</v>
      </c>
      <c r="K11" s="299">
        <v>3.5</v>
      </c>
      <c r="L11" s="300">
        <v>2.5</v>
      </c>
      <c r="M11" s="300">
        <v>3</v>
      </c>
      <c r="P11" s="275"/>
      <c r="Q11" s="276"/>
      <c r="R11" s="276"/>
      <c r="S11" s="277"/>
      <c r="T11" s="162"/>
      <c r="U11" s="278"/>
      <c r="W11" s="278"/>
      <c r="X11" s="278"/>
    </row>
    <row r="12" spans="1:24" x14ac:dyDescent="0.2">
      <c r="H12" s="124"/>
      <c r="I12" s="218"/>
      <c r="J12" s="218"/>
      <c r="K12" s="285"/>
      <c r="L12" s="219"/>
      <c r="M12" s="219"/>
      <c r="P12" s="275"/>
      <c r="Q12" s="276"/>
      <c r="R12" s="276"/>
      <c r="S12" s="277"/>
      <c r="T12" s="162"/>
      <c r="U12" s="278"/>
      <c r="W12" s="278"/>
    </row>
    <row r="13" spans="1:24" ht="13.5" thickBot="1" x14ac:dyDescent="0.25">
      <c r="A13" s="465" t="s">
        <v>65</v>
      </c>
      <c r="B13" s="465"/>
      <c r="C13" s="465"/>
      <c r="D13" s="465"/>
      <c r="E13" s="465"/>
      <c r="J13" s="145"/>
      <c r="L13" s="217"/>
      <c r="M13" s="217"/>
    </row>
    <row r="14" spans="1:24" x14ac:dyDescent="0.2">
      <c r="D14" s="466" t="s">
        <v>197</v>
      </c>
      <c r="E14" s="466"/>
      <c r="F14" s="467"/>
      <c r="G14" s="185" t="s">
        <v>288</v>
      </c>
      <c r="J14" s="145"/>
      <c r="K14" s="124"/>
      <c r="L14" s="217"/>
    </row>
    <row r="15" spans="1:24" ht="40.5" customHeight="1" x14ac:dyDescent="0.2">
      <c r="A15" s="481" t="s">
        <v>66</v>
      </c>
      <c r="B15" s="478"/>
      <c r="C15" s="302" t="s">
        <v>302</v>
      </c>
      <c r="D15" s="282" t="s">
        <v>66</v>
      </c>
      <c r="E15" s="282" t="s">
        <v>196</v>
      </c>
      <c r="F15" s="283" t="s">
        <v>67</v>
      </c>
      <c r="G15" s="306" t="s">
        <v>287</v>
      </c>
      <c r="H15" s="306" t="s">
        <v>297</v>
      </c>
      <c r="I15" s="306" t="s">
        <v>298</v>
      </c>
      <c r="J15" s="145"/>
      <c r="L15" s="280" t="s">
        <v>385</v>
      </c>
      <c r="M15" s="280" t="s">
        <v>366</v>
      </c>
      <c r="N15" s="280" t="s">
        <v>363</v>
      </c>
      <c r="O15" s="280" t="s">
        <v>364</v>
      </c>
      <c r="P15" s="280" t="s">
        <v>365</v>
      </c>
    </row>
    <row r="16" spans="1:24" x14ac:dyDescent="0.2">
      <c r="A16" s="470">
        <v>60000</v>
      </c>
      <c r="B16" s="471"/>
      <c r="C16" s="194">
        <v>804.95</v>
      </c>
      <c r="D16" s="148">
        <v>60000</v>
      </c>
      <c r="E16" s="135">
        <v>535</v>
      </c>
      <c r="F16" s="188">
        <f>C16-E16</f>
        <v>269.95000000000005</v>
      </c>
      <c r="G16" s="85"/>
      <c r="H16" s="134"/>
      <c r="I16" s="134"/>
      <c r="J16" s="145"/>
      <c r="K16" s="140" t="s">
        <v>375</v>
      </c>
      <c r="L16" s="319">
        <v>1</v>
      </c>
      <c r="M16" s="279">
        <f>IFERROR(ROUND((($O16-$N16)*10*Lookups!$M$4*$P16/'HVAC Rebate Estimator'!$U21*L16),0),0)</f>
        <v>0</v>
      </c>
      <c r="N16" s="248" t="e">
        <f>IFERROR((((('HVAC Rebate Estimator'!$D21*1000)*92%/(IF('HVAC Rebate Estimator'!$H21="yes",'HVAC Rebate Estimator'!$J21*(1-Lookups!$I$10)^(2016-'HVAC Rebate Estimator'!$L21),Lookups!$D$30)))-('HVAC Rebate Estimator'!$D21*1000))*'HVAC Rebate Estimator'!$N21/1000000)*'HVAC Rebate Estimator'!$B21,"")*'HVAC Rebate Estimator'!$U21</f>
        <v>#VALUE!</v>
      </c>
      <c r="O16" s="248" t="e">
        <f>IFERROR((((('HVAC Rebate Estimator'!$D21*1000)*'HVAC Rebate Estimator'!$F21/(IF('HVAC Rebate Estimator'!$H21="yes",'HVAC Rebate Estimator'!$J21*(1-Lookups!$I$10)^(2016-'HVAC Rebate Estimator'!$L21),Lookups!$D$30)))-('HVAC Rebate Estimator'!$D21*1000))*'HVAC Rebate Estimator'!$N21/1000000)*'HVAC Rebate Estimator'!$B21,"")*'HVAC Rebate Estimator'!$U21</f>
        <v>#VALUE!</v>
      </c>
      <c r="P16" s="254" t="e">
        <f>(IF('HVAC Rebate Estimator'!$H21="yes",'Incremental Cost'!$I$25*'HVAC Rebate Estimator'!U21,'Incremental Cost'!$H$25*'HVAC Rebate Estimator'!U21)+'HVAC Rebate Estimator'!$X21)/(('HVAC Rebate Estimator'!$O21*10)*Lookups!$M$4)</f>
        <v>#VALUE!</v>
      </c>
    </row>
    <row r="17" spans="1:16" x14ac:dyDescent="0.2">
      <c r="A17" s="470">
        <v>70000</v>
      </c>
      <c r="B17" s="471"/>
      <c r="C17" s="194">
        <v>782.26</v>
      </c>
      <c r="D17" s="148">
        <v>60000</v>
      </c>
      <c r="E17" s="135">
        <v>535</v>
      </c>
      <c r="F17" s="188">
        <f t="shared" ref="F17:F24" si="2">C17-E17</f>
        <v>247.26</v>
      </c>
      <c r="G17" s="85"/>
      <c r="H17" s="126"/>
      <c r="I17" s="126"/>
      <c r="K17" s="140" t="s">
        <v>375</v>
      </c>
      <c r="L17" s="319">
        <v>1</v>
      </c>
      <c r="M17" s="279">
        <f>IFERROR(ROUND((($O17-$N17)*10*Lookups!$M$4*$P17/'HVAC Rebate Estimator'!$U22*L17),0),0)</f>
        <v>0</v>
      </c>
      <c r="N17" s="248" t="e">
        <f>IFERROR((((('HVAC Rebate Estimator'!$D22*1000)*92%/(IF('HVAC Rebate Estimator'!$H22="yes",'HVAC Rebate Estimator'!$J22*(1-Lookups!$I$10)^(2016-'HVAC Rebate Estimator'!$L22),Lookups!$D$30)))-('HVAC Rebate Estimator'!$D22*1000))*'HVAC Rebate Estimator'!$N22/1000000)*'HVAC Rebate Estimator'!$B22,"")*'HVAC Rebate Estimator'!$U22</f>
        <v>#VALUE!</v>
      </c>
      <c r="O17" s="248" t="e">
        <f>IFERROR((((('HVAC Rebate Estimator'!$D22*1000)*'HVAC Rebate Estimator'!$F22/(IF('HVAC Rebate Estimator'!$H22="yes",'HVAC Rebate Estimator'!$J22*(1-Lookups!$I$10)^(2016-'HVAC Rebate Estimator'!$L22),Lookups!$D$30)))-('HVAC Rebate Estimator'!$D22*1000))*'HVAC Rebate Estimator'!$N22/1000000)*'HVAC Rebate Estimator'!$B22,"")*'HVAC Rebate Estimator'!$U22</f>
        <v>#VALUE!</v>
      </c>
      <c r="P17" s="254" t="e">
        <f>(IF('HVAC Rebate Estimator'!$H22="yes",'Incremental Cost'!$I$25*'HVAC Rebate Estimator'!U22,'Incremental Cost'!$H$25*'HVAC Rebate Estimator'!U22)+'HVAC Rebate Estimator'!$X22)/(('HVAC Rebate Estimator'!$O22*10)*Lookups!$M$4)</f>
        <v>#VALUE!</v>
      </c>
    </row>
    <row r="18" spans="1:16" x14ac:dyDescent="0.2">
      <c r="A18" s="470">
        <v>80000</v>
      </c>
      <c r="B18" s="471"/>
      <c r="C18" s="194">
        <v>775.83</v>
      </c>
      <c r="D18" s="148">
        <v>75000</v>
      </c>
      <c r="E18" s="135">
        <v>575</v>
      </c>
      <c r="F18" s="188">
        <f t="shared" si="2"/>
        <v>200.83000000000004</v>
      </c>
      <c r="G18" s="85"/>
      <c r="H18" s="126"/>
      <c r="I18" s="126"/>
      <c r="K18" s="140" t="s">
        <v>375</v>
      </c>
      <c r="L18" s="319">
        <v>1</v>
      </c>
      <c r="M18" s="279">
        <f>IFERROR(ROUND((($O18-$N18)*10*Lookups!$M$4*$P18/'HVAC Rebate Estimator'!$U23*L18),0),0)</f>
        <v>0</v>
      </c>
      <c r="N18" s="248" t="e">
        <f>IFERROR((((('HVAC Rebate Estimator'!$D23*1000)*92%/(IF('HVAC Rebate Estimator'!$H23="yes",'HVAC Rebate Estimator'!$J23*(1-Lookups!$I$10)^(2016-'HVAC Rebate Estimator'!$L23),Lookups!$D$30)))-('HVAC Rebate Estimator'!$D23*1000))*'HVAC Rebate Estimator'!$N23/1000000)*'HVAC Rebate Estimator'!$B23,"")*'HVAC Rebate Estimator'!$U23</f>
        <v>#VALUE!</v>
      </c>
      <c r="O18" s="248" t="e">
        <f>IFERROR((((('HVAC Rebate Estimator'!$D23*1000)*'HVAC Rebate Estimator'!$F23/(IF('HVAC Rebate Estimator'!$H23="yes",'HVAC Rebate Estimator'!$J23*(1-Lookups!$I$10)^(2016-'HVAC Rebate Estimator'!$L23),Lookups!$D$30)))-('HVAC Rebate Estimator'!$D23*1000))*'HVAC Rebate Estimator'!$N23/1000000)*'HVAC Rebate Estimator'!$B23,"")*'HVAC Rebate Estimator'!$U23</f>
        <v>#VALUE!</v>
      </c>
      <c r="P18" s="254" t="e">
        <f>(IF('HVAC Rebate Estimator'!$H23="yes",'Incremental Cost'!$I$25*'HVAC Rebate Estimator'!U23,'Incremental Cost'!$H$25*'HVAC Rebate Estimator'!U23)+'HVAC Rebate Estimator'!$X23)/(('HVAC Rebate Estimator'!$O23*10)*Lookups!$M$4)</f>
        <v>#VALUE!</v>
      </c>
    </row>
    <row r="19" spans="1:16" x14ac:dyDescent="0.2">
      <c r="A19" s="470">
        <v>90000</v>
      </c>
      <c r="B19" s="471"/>
      <c r="C19" s="194">
        <v>785.68</v>
      </c>
      <c r="D19" s="148">
        <v>100000</v>
      </c>
      <c r="E19" s="135">
        <v>625</v>
      </c>
      <c r="F19" s="188">
        <f t="shared" si="2"/>
        <v>160.67999999999995</v>
      </c>
      <c r="G19" s="85"/>
      <c r="H19" s="126"/>
      <c r="I19" s="126"/>
      <c r="K19" s="140" t="s">
        <v>375</v>
      </c>
      <c r="L19" s="319">
        <v>1</v>
      </c>
      <c r="M19" s="279">
        <f>IFERROR(ROUND((($O19-$N19)*10*Lookups!$M$4*$P19/'HVAC Rebate Estimator'!$U24*L19),0),0)</f>
        <v>0</v>
      </c>
      <c r="N19" s="248" t="e">
        <f>IFERROR((((('HVAC Rebate Estimator'!$D24*1000)*92%/(IF('HVAC Rebate Estimator'!$H24="yes",'HVAC Rebate Estimator'!$J24*(1-Lookups!$I$10)^(2016-'HVAC Rebate Estimator'!$L24),Lookups!$D$30)))-('HVAC Rebate Estimator'!$D24*1000))*'HVAC Rebate Estimator'!$N24/1000000)*'HVAC Rebate Estimator'!$B24,"")*'HVAC Rebate Estimator'!$U24</f>
        <v>#VALUE!</v>
      </c>
      <c r="O19" s="248" t="e">
        <f>IFERROR((((('HVAC Rebate Estimator'!$D24*1000)*'HVAC Rebate Estimator'!$F24/(IF('HVAC Rebate Estimator'!$H24="yes",'HVAC Rebate Estimator'!$J24*(1-Lookups!$I$10)^(2016-'HVAC Rebate Estimator'!$L24),Lookups!$D$30)))-('HVAC Rebate Estimator'!$D24*1000))*'HVAC Rebate Estimator'!$N24/1000000)*'HVAC Rebate Estimator'!$B24,"")*'HVAC Rebate Estimator'!$U24</f>
        <v>#VALUE!</v>
      </c>
      <c r="P19" s="254" t="e">
        <f>(IF('HVAC Rebate Estimator'!$H24="yes",'Incremental Cost'!$I$25*'HVAC Rebate Estimator'!U24,'Incremental Cost'!$H$25*'HVAC Rebate Estimator'!U24)+'HVAC Rebate Estimator'!$X24)/(('HVAC Rebate Estimator'!$O24*10)*Lookups!$M$4)</f>
        <v>#VALUE!</v>
      </c>
    </row>
    <row r="20" spans="1:16" x14ac:dyDescent="0.2">
      <c r="A20" s="470">
        <v>100000</v>
      </c>
      <c r="B20" s="471"/>
      <c r="C20" s="194">
        <v>811.8</v>
      </c>
      <c r="D20" s="148">
        <v>100000</v>
      </c>
      <c r="E20" s="135">
        <v>625</v>
      </c>
      <c r="F20" s="188">
        <f t="shared" si="2"/>
        <v>186.79999999999995</v>
      </c>
      <c r="G20" s="85"/>
      <c r="H20" s="126"/>
      <c r="I20" s="126"/>
      <c r="L20" s="124"/>
      <c r="M20" s="124"/>
    </row>
    <row r="21" spans="1:16" x14ac:dyDescent="0.2">
      <c r="A21" s="470">
        <v>115000</v>
      </c>
      <c r="B21" s="471"/>
      <c r="C21" s="194">
        <v>893.02</v>
      </c>
      <c r="D21" s="148">
        <v>100000</v>
      </c>
      <c r="E21" s="135">
        <v>625</v>
      </c>
      <c r="F21" s="188">
        <f t="shared" si="2"/>
        <v>268.02</v>
      </c>
      <c r="G21" s="85"/>
      <c r="H21" s="126"/>
      <c r="I21" s="126"/>
    </row>
    <row r="22" spans="1:16" x14ac:dyDescent="0.2">
      <c r="A22" s="470">
        <v>120000</v>
      </c>
      <c r="B22" s="471"/>
      <c r="C22" s="194">
        <v>912.86</v>
      </c>
      <c r="D22" s="148">
        <v>125000</v>
      </c>
      <c r="E22" s="135">
        <v>655</v>
      </c>
      <c r="F22" s="188">
        <f t="shared" si="2"/>
        <v>257.86</v>
      </c>
      <c r="G22" s="85"/>
      <c r="H22" s="126"/>
      <c r="I22" s="126"/>
    </row>
    <row r="23" spans="1:16" x14ac:dyDescent="0.2">
      <c r="A23" s="470">
        <v>125000</v>
      </c>
      <c r="B23" s="471"/>
      <c r="C23" s="194">
        <v>948.29</v>
      </c>
      <c r="D23" s="148">
        <v>125000</v>
      </c>
      <c r="E23" s="135">
        <v>655</v>
      </c>
      <c r="F23" s="188">
        <f t="shared" si="2"/>
        <v>293.28999999999996</v>
      </c>
      <c r="G23" s="85"/>
      <c r="H23" s="126"/>
      <c r="I23" s="126"/>
    </row>
    <row r="24" spans="1:16" x14ac:dyDescent="0.2">
      <c r="A24" s="470">
        <v>140000</v>
      </c>
      <c r="B24" s="471"/>
      <c r="C24" s="195">
        <v>1079</v>
      </c>
      <c r="D24" s="148">
        <v>150000</v>
      </c>
      <c r="E24" s="135">
        <v>670</v>
      </c>
      <c r="F24" s="188">
        <f t="shared" si="2"/>
        <v>409</v>
      </c>
      <c r="G24" s="85"/>
      <c r="H24" s="126"/>
      <c r="I24" s="126"/>
    </row>
    <row r="25" spans="1:16" ht="13.5" thickBot="1" x14ac:dyDescent="0.25">
      <c r="A25" s="146"/>
      <c r="B25" s="149" t="s">
        <v>118</v>
      </c>
      <c r="C25" s="196">
        <f>AVERAGE(C16:C24)</f>
        <v>865.9655555555554</v>
      </c>
      <c r="D25" s="147"/>
      <c r="E25" s="150">
        <f>AVERAGE(E16:E24)</f>
        <v>611.11111111111109</v>
      </c>
      <c r="F25" s="150">
        <f>AVERAGE(F16:F24)</f>
        <v>254.85444444444445</v>
      </c>
      <c r="G25" s="232">
        <v>80</v>
      </c>
      <c r="H25" s="297">
        <v>100</v>
      </c>
      <c r="I25" s="297">
        <v>120</v>
      </c>
      <c r="K25" s="217"/>
    </row>
    <row r="26" spans="1:16" x14ac:dyDescent="0.2">
      <c r="B26" s="87"/>
      <c r="C26" s="127"/>
      <c r="J26" s="124"/>
    </row>
    <row r="27" spans="1:16" x14ac:dyDescent="0.2">
      <c r="A27" s="475" t="s">
        <v>333</v>
      </c>
      <c r="B27" s="475"/>
      <c r="C27" s="475"/>
      <c r="D27" s="475"/>
      <c r="E27" s="465"/>
      <c r="I27" s="217"/>
    </row>
    <row r="28" spans="1:16" ht="25.5" x14ac:dyDescent="0.2">
      <c r="A28" s="303" t="s">
        <v>72</v>
      </c>
      <c r="B28" s="303"/>
      <c r="C28" s="303"/>
      <c r="D28" s="304" t="s">
        <v>73</v>
      </c>
    </row>
    <row r="29" spans="1:16" x14ac:dyDescent="0.2">
      <c r="A29" s="220" t="s">
        <v>42</v>
      </c>
      <c r="B29" s="160" t="s">
        <v>70</v>
      </c>
      <c r="C29" s="160" t="s">
        <v>71</v>
      </c>
      <c r="D29" s="85"/>
    </row>
    <row r="30" spans="1:16" x14ac:dyDescent="0.2">
      <c r="A30" s="221" t="s">
        <v>14</v>
      </c>
      <c r="B30" s="92">
        <v>13</v>
      </c>
      <c r="C30" s="92">
        <v>11.05</v>
      </c>
      <c r="D30" s="85">
        <f>79+65</f>
        <v>144</v>
      </c>
    </row>
    <row r="31" spans="1:16" x14ac:dyDescent="0.2">
      <c r="A31" s="221" t="s">
        <v>10</v>
      </c>
      <c r="B31" s="92">
        <v>12.9</v>
      </c>
      <c r="C31" s="92">
        <v>11</v>
      </c>
      <c r="D31" s="85">
        <f t="shared" ref="D31:D34" si="3">79+65</f>
        <v>144</v>
      </c>
    </row>
    <row r="32" spans="1:16" x14ac:dyDescent="0.2">
      <c r="A32" s="221" t="s">
        <v>9</v>
      </c>
      <c r="B32" s="92">
        <v>12.7</v>
      </c>
      <c r="C32" s="92">
        <v>10.8</v>
      </c>
      <c r="D32" s="85">
        <f t="shared" si="3"/>
        <v>144</v>
      </c>
    </row>
    <row r="33" spans="1:16" x14ac:dyDescent="0.2">
      <c r="A33" s="221" t="s">
        <v>6</v>
      </c>
      <c r="B33" s="92">
        <v>13</v>
      </c>
      <c r="C33" s="92">
        <v>11.05</v>
      </c>
      <c r="D33" s="85">
        <f t="shared" si="3"/>
        <v>144</v>
      </c>
    </row>
    <row r="34" spans="1:16" x14ac:dyDescent="0.2">
      <c r="A34" s="221" t="s">
        <v>11</v>
      </c>
      <c r="B34" s="92">
        <v>13</v>
      </c>
      <c r="C34" s="92">
        <v>11.05</v>
      </c>
      <c r="D34" s="85">
        <f t="shared" si="3"/>
        <v>144</v>
      </c>
    </row>
    <row r="36" spans="1:16" x14ac:dyDescent="0.2">
      <c r="B36" s="468" t="s">
        <v>137</v>
      </c>
      <c r="C36" s="468"/>
      <c r="D36" s="468"/>
      <c r="E36" s="468"/>
      <c r="F36" s="468"/>
      <c r="H36" s="139" t="s">
        <v>125</v>
      </c>
    </row>
    <row r="37" spans="1:16" x14ac:dyDescent="0.2">
      <c r="B37" s="469" t="s">
        <v>290</v>
      </c>
      <c r="C37" s="469"/>
      <c r="D37" s="469"/>
      <c r="E37" s="469"/>
      <c r="F37" s="469"/>
    </row>
    <row r="38" spans="1:16" ht="38.25" x14ac:dyDescent="0.2">
      <c r="A38" s="303" t="s">
        <v>42</v>
      </c>
      <c r="B38" s="205" t="s">
        <v>18</v>
      </c>
      <c r="C38" s="304" t="s">
        <v>291</v>
      </c>
      <c r="D38" s="304" t="s">
        <v>359</v>
      </c>
      <c r="E38" s="304" t="s">
        <v>292</v>
      </c>
      <c r="F38" s="304" t="s">
        <v>296</v>
      </c>
      <c r="G38" s="305" t="s">
        <v>293</v>
      </c>
      <c r="H38" s="302" t="s">
        <v>294</v>
      </c>
      <c r="I38" s="302" t="s">
        <v>295</v>
      </c>
      <c r="J38" s="123" t="s">
        <v>116</v>
      </c>
      <c r="L38" s="280" t="s">
        <v>385</v>
      </c>
      <c r="M38" s="280" t="s">
        <v>369</v>
      </c>
      <c r="N38" s="280" t="s">
        <v>367</v>
      </c>
      <c r="O38" s="280" t="s">
        <v>368</v>
      </c>
      <c r="P38" s="280" t="s">
        <v>365</v>
      </c>
    </row>
    <row r="39" spans="1:16" x14ac:dyDescent="0.2">
      <c r="A39" s="186" t="s">
        <v>126</v>
      </c>
      <c r="B39" s="126">
        <v>3</v>
      </c>
      <c r="C39" s="254">
        <v>3850</v>
      </c>
      <c r="D39" s="191">
        <f>C39/B39</f>
        <v>1283.3333333333333</v>
      </c>
      <c r="E39" s="254">
        <f t="shared" ref="E39:E49" si="4">C39+($D$30*B39)</f>
        <v>4282</v>
      </c>
      <c r="F39" s="254">
        <f t="shared" ref="F39:F49" si="5">E39/B39</f>
        <v>1427.3333333333333</v>
      </c>
      <c r="G39" s="222"/>
      <c r="H39" s="126"/>
      <c r="I39" s="126"/>
      <c r="K39" s="126" t="s">
        <v>113</v>
      </c>
      <c r="L39" s="319">
        <v>1</v>
      </c>
      <c r="M39" s="279">
        <f>IFERROR(ROUND((O39-N39)*Lookups!$M$3*P39/'HVAC Rebate Estimator'!U27,0)*L39,0)</f>
        <v>0</v>
      </c>
      <c r="N39" s="136" t="str">
        <f>IFERROR(IFERROR((('HVAC Rebate Estimator'!$D27*12000)/1000)*'HVAC Rebate Estimator'!$N27*((1/(IF('HVAC Rebate Estimator'!$H27="yes",'HVAC Rebate Estimator'!$J27*(1-Lookups!$I$9)^(2016-'HVAC Rebate Estimator'!$L27),Lookups!$F$30)))-(1/IF('HVAC Rebate Estimator'!$G27="Yes",17*Lookups!$E$44,17))),"")*'HVAC Rebate Estimator'!$B27,"")</f>
        <v/>
      </c>
      <c r="O39" s="136" t="str">
        <f>IFERROR(IFERROR((('HVAC Rebate Estimator'!$D27*12000)/1000)*'HVAC Rebate Estimator'!$N27*((1/(IF('HVAC Rebate Estimator'!$H27="yes",'HVAC Rebate Estimator'!$J27*(1-Lookups!$I$9)^(2016-'HVAC Rebate Estimator'!$L27),Lookups!$F$30)))-(1/IF('HVAC Rebate Estimator'!$G27="Yes",'HVAC Rebate Estimator'!$F27*Lookups!$E$44,'HVAC Rebate Estimator'!$F27))),"")*'HVAC Rebate Estimator'!$B27,"")</f>
        <v/>
      </c>
      <c r="P39" s="254" t="e">
        <f>(IF('HVAC Rebate Estimator'!H27="yes",'Incremental Cost'!$I$50*'HVAC Rebate Estimator'!U27,'Incremental Cost'!$H$50*'HVAC Rebate Estimator'!U27)+'HVAC Rebate Estimator'!X27)/(('HVAC Rebate Estimator'!O27)*Lookups!$M$3)</f>
        <v>#VALUE!</v>
      </c>
    </row>
    <row r="40" spans="1:16" x14ac:dyDescent="0.2">
      <c r="A40" s="186" t="s">
        <v>127</v>
      </c>
      <c r="B40" s="126">
        <v>4</v>
      </c>
      <c r="C40" s="254">
        <v>4525</v>
      </c>
      <c r="D40" s="191">
        <f t="shared" ref="D40:D49" si="6">C40/B40</f>
        <v>1131.25</v>
      </c>
      <c r="E40" s="254">
        <f t="shared" si="4"/>
        <v>5101</v>
      </c>
      <c r="F40" s="254">
        <f t="shared" si="5"/>
        <v>1275.25</v>
      </c>
      <c r="G40" s="222"/>
      <c r="H40" s="126"/>
      <c r="I40" s="126"/>
      <c r="K40" s="126" t="s">
        <v>113</v>
      </c>
      <c r="L40" s="319">
        <v>1</v>
      </c>
      <c r="M40" s="279">
        <f>IFERROR(ROUND((O40-N40)*Lookups!$M$3*P40/'HVAC Rebate Estimator'!U28,0)*L40,0)</f>
        <v>0</v>
      </c>
      <c r="N40" s="136" t="str">
        <f>IFERROR(IFERROR((('HVAC Rebate Estimator'!$D28*12000)/1000)*'HVAC Rebate Estimator'!$N28*((1/(IF('HVAC Rebate Estimator'!$H28="yes",'HVAC Rebate Estimator'!$J28*(1-Lookups!$I$9)^(2016-'HVAC Rebate Estimator'!$L28),Lookups!$F$30)))-(1/IF('HVAC Rebate Estimator'!$G28="Yes",17*Lookups!$E$44,17))),"")*'HVAC Rebate Estimator'!$B28,"")</f>
        <v/>
      </c>
      <c r="O40" s="136" t="str">
        <f>IFERROR(IFERROR((('HVAC Rebate Estimator'!$D28*12000)/1000)*'HVAC Rebate Estimator'!$N28*((1/(IF('HVAC Rebate Estimator'!$H28="yes",'HVAC Rebate Estimator'!$J28*(1-Lookups!$I$9)^(2016-'HVAC Rebate Estimator'!$L28),Lookups!$F$30)))-(1/IF('HVAC Rebate Estimator'!$G28="Yes",'HVAC Rebate Estimator'!$F28*Lookups!$E$44,'HVAC Rebate Estimator'!$F28))),"")*'HVAC Rebate Estimator'!$B28,"")</f>
        <v/>
      </c>
      <c r="P40" s="254" t="e">
        <f>(IF('HVAC Rebate Estimator'!H28="yes",'Incremental Cost'!$I$50*'HVAC Rebate Estimator'!U28,'Incremental Cost'!$H$50*'HVAC Rebate Estimator'!U28)+'HVAC Rebate Estimator'!X28)/(('HVAC Rebate Estimator'!O28)*Lookups!$M$3)</f>
        <v>#VALUE!</v>
      </c>
    </row>
    <row r="41" spans="1:16" x14ac:dyDescent="0.2">
      <c r="A41" s="186" t="s">
        <v>128</v>
      </c>
      <c r="B41" s="126">
        <v>5</v>
      </c>
      <c r="C41" s="254">
        <v>5275</v>
      </c>
      <c r="D41" s="191">
        <f t="shared" si="6"/>
        <v>1055</v>
      </c>
      <c r="E41" s="254">
        <f t="shared" si="4"/>
        <v>5995</v>
      </c>
      <c r="F41" s="254">
        <f t="shared" si="5"/>
        <v>1199</v>
      </c>
      <c r="G41" s="222"/>
      <c r="H41" s="126"/>
      <c r="I41" s="126"/>
      <c r="K41" s="126" t="s">
        <v>113</v>
      </c>
      <c r="L41" s="319">
        <v>1</v>
      </c>
      <c r="M41" s="279">
        <f>IFERROR(ROUND((O41-N41)*Lookups!$M$3*P41/'HVAC Rebate Estimator'!U29,0)*L41,0)</f>
        <v>0</v>
      </c>
      <c r="N41" s="136" t="str">
        <f>IFERROR(IFERROR((('HVAC Rebate Estimator'!$D29*12000)/1000)*'HVAC Rebate Estimator'!$N29*((1/(IF('HVAC Rebate Estimator'!$H29="yes",'HVAC Rebate Estimator'!$J29*(1-Lookups!$I$9)^(2016-'HVAC Rebate Estimator'!$L29),Lookups!$F$30)))-(1/IF('HVAC Rebate Estimator'!$G29="Yes",17*Lookups!$E$44,17))),"")*'HVAC Rebate Estimator'!$B29,"")</f>
        <v/>
      </c>
      <c r="O41" s="136" t="str">
        <f>IFERROR(IFERROR((('HVAC Rebate Estimator'!$D29*12000)/1000)*'HVAC Rebate Estimator'!$N29*((1/(IF('HVAC Rebate Estimator'!$H29="yes",'HVAC Rebate Estimator'!$J29*(1-Lookups!$I$9)^(2016-'HVAC Rebate Estimator'!$L29),Lookups!$F$30)))-(1/IF('HVAC Rebate Estimator'!$G29="Yes",'HVAC Rebate Estimator'!$F29*Lookups!$E$44,'HVAC Rebate Estimator'!$F29))),"")*'HVAC Rebate Estimator'!$B29,"")</f>
        <v/>
      </c>
      <c r="P41" s="254" t="e">
        <f>(IF('HVAC Rebate Estimator'!H29="yes",'Incremental Cost'!$I$50*'HVAC Rebate Estimator'!U29,'Incremental Cost'!$H$50*'HVAC Rebate Estimator'!U29)+'HVAC Rebate Estimator'!X29)/(('HVAC Rebate Estimator'!O29)*Lookups!$M$3)</f>
        <v>#VALUE!</v>
      </c>
    </row>
    <row r="42" spans="1:16" x14ac:dyDescent="0.2">
      <c r="A42" s="186" t="s">
        <v>129</v>
      </c>
      <c r="B42" s="126">
        <v>6</v>
      </c>
      <c r="C42" s="254">
        <v>6200</v>
      </c>
      <c r="D42" s="191">
        <f t="shared" si="6"/>
        <v>1033.3333333333333</v>
      </c>
      <c r="E42" s="254">
        <f t="shared" si="4"/>
        <v>7064</v>
      </c>
      <c r="F42" s="254">
        <f t="shared" si="5"/>
        <v>1177.3333333333333</v>
      </c>
      <c r="G42" s="222"/>
      <c r="H42" s="126"/>
      <c r="I42" s="126"/>
      <c r="K42" s="126" t="s">
        <v>113</v>
      </c>
      <c r="L42" s="319">
        <v>1</v>
      </c>
      <c r="M42" s="279">
        <f>IFERROR(ROUND((O42-N42)*Lookups!$M$3*P42/'HVAC Rebate Estimator'!U30,0)*L42,0)</f>
        <v>0</v>
      </c>
      <c r="N42" s="136" t="str">
        <f>IFERROR(IFERROR((('HVAC Rebate Estimator'!$D30*12000)/1000)*'HVAC Rebate Estimator'!$N30*((1/(IF('HVAC Rebate Estimator'!$H30="yes",'HVAC Rebate Estimator'!$J30*(1-Lookups!$I$9)^(2016-'HVAC Rebate Estimator'!$L30),Lookups!$F$30)))-(1/IF('HVAC Rebate Estimator'!$G30="Yes",17*Lookups!$E$44,17))),"")*'HVAC Rebate Estimator'!$B30,"")</f>
        <v/>
      </c>
      <c r="O42" s="136" t="str">
        <f>IFERROR(IFERROR((('HVAC Rebate Estimator'!$D30*12000)/1000)*'HVAC Rebate Estimator'!$N30*((1/(IF('HVAC Rebate Estimator'!$H30="yes",'HVAC Rebate Estimator'!$J30*(1-Lookups!$I$9)^(2016-'HVAC Rebate Estimator'!$L30),Lookups!$F$30)))-(1/IF('HVAC Rebate Estimator'!$G30="Yes",'HVAC Rebate Estimator'!$F30*Lookups!$E$44,'HVAC Rebate Estimator'!$F30))),"")*'HVAC Rebate Estimator'!$B30,"")</f>
        <v/>
      </c>
      <c r="P42" s="254" t="e">
        <f>(IF('HVAC Rebate Estimator'!H30="yes",'Incremental Cost'!$I$50*'HVAC Rebate Estimator'!U30,'Incremental Cost'!$H$50*'HVAC Rebate Estimator'!U30)+'HVAC Rebate Estimator'!X30)/(('HVAC Rebate Estimator'!O30)*Lookups!$M$3)</f>
        <v>#VALUE!</v>
      </c>
    </row>
    <row r="43" spans="1:16" x14ac:dyDescent="0.2">
      <c r="A43" s="186" t="s">
        <v>130</v>
      </c>
      <c r="B43" s="126">
        <v>7.5</v>
      </c>
      <c r="C43" s="254">
        <v>8125</v>
      </c>
      <c r="D43" s="191">
        <f t="shared" si="6"/>
        <v>1083.3333333333333</v>
      </c>
      <c r="E43" s="254">
        <f t="shared" si="4"/>
        <v>9205</v>
      </c>
      <c r="F43" s="254">
        <f t="shared" si="5"/>
        <v>1227.3333333333333</v>
      </c>
      <c r="G43" s="222"/>
      <c r="H43" s="126"/>
      <c r="I43" s="126"/>
      <c r="K43" s="126" t="s">
        <v>10</v>
      </c>
      <c r="L43" s="319">
        <v>1</v>
      </c>
      <c r="M43" s="279">
        <f>IFERROR(ROUND((O43-N43)*Lookups!$M$3*P43/'HVAC Rebate Estimator'!U31,0)*L43,0)</f>
        <v>0</v>
      </c>
      <c r="N43" s="136" t="str">
        <f>IFERROR(IFERROR((('HVAC Rebate Estimator'!$D31*12000)/1000)*'HVAC Rebate Estimator'!$N31*((1/(IF('HVAC Rebate Estimator'!$H31="yes",'HVAC Rebate Estimator'!$J31*(1-Lookups!$I$9)^(2016-'HVAC Rebate Estimator'!$L31),Lookups!$H$30)))-(1/IF('HVAC Rebate Estimator'!$G31="Yes",12*Lookups!$E$44,12))),"")*'HVAC Rebate Estimator'!$B31,"")</f>
        <v/>
      </c>
      <c r="O43" s="136" t="str">
        <f>IFERROR(IFERROR((('HVAC Rebate Estimator'!$D31*12000)/1000)*'HVAC Rebate Estimator'!$N31*((1/(IF('HVAC Rebate Estimator'!$H31="yes",'HVAC Rebate Estimator'!$J31*(1-Lookups!$I$9)^(2016-'HVAC Rebate Estimator'!$L31),Lookups!$H$30)))-(1/IF('HVAC Rebate Estimator'!$G31="Yes",'HVAC Rebate Estimator'!$F31*Lookups!$E$44,'HVAC Rebate Estimator'!$F31))),"")*'HVAC Rebate Estimator'!$B31,"")</f>
        <v/>
      </c>
      <c r="P43" s="254" t="e">
        <f>(IF('HVAC Rebate Estimator'!H31="yes",'Incremental Cost'!$I$50*'HVAC Rebate Estimator'!U31,'Incremental Cost'!$H$50*'HVAC Rebate Estimator'!U31)+'HVAC Rebate Estimator'!X31)/(('HVAC Rebate Estimator'!O31)*Lookups!$M$3)</f>
        <v>#VALUE!</v>
      </c>
    </row>
    <row r="44" spans="1:16" x14ac:dyDescent="0.2">
      <c r="A44" s="189" t="s">
        <v>131</v>
      </c>
      <c r="B44" s="126">
        <v>8.5</v>
      </c>
      <c r="C44" s="254">
        <v>8800</v>
      </c>
      <c r="D44" s="191">
        <f t="shared" si="6"/>
        <v>1035.2941176470588</v>
      </c>
      <c r="E44" s="254">
        <f t="shared" si="4"/>
        <v>10024</v>
      </c>
      <c r="F44" s="254">
        <f t="shared" si="5"/>
        <v>1179.2941176470588</v>
      </c>
      <c r="G44" s="222"/>
      <c r="H44" s="126"/>
      <c r="I44" s="126"/>
      <c r="K44" s="126" t="s">
        <v>10</v>
      </c>
      <c r="L44" s="319">
        <v>1</v>
      </c>
      <c r="M44" s="279">
        <f>IFERROR(ROUND((O44-N44)*Lookups!$M$3*P44/'HVAC Rebate Estimator'!U32,0)*L44,0)</f>
        <v>0</v>
      </c>
      <c r="N44" s="136" t="str">
        <f>IFERROR(IFERROR((('HVAC Rebate Estimator'!$D32*12000)/1000)*'HVAC Rebate Estimator'!$N32*((1/(IF('HVAC Rebate Estimator'!$H32="yes",'HVAC Rebate Estimator'!$J32*(1-Lookups!$I$9)^(2016-'HVAC Rebate Estimator'!$L32),Lookups!$H$30)))-(1/IF('HVAC Rebate Estimator'!$G32="Yes",12*Lookups!$E$44,12))),"")*'HVAC Rebate Estimator'!$B32,"")</f>
        <v/>
      </c>
      <c r="O44" s="136" t="str">
        <f>IFERROR(IFERROR((('HVAC Rebate Estimator'!$D32*12000)/1000)*'HVAC Rebate Estimator'!$N32*((1/(IF('HVAC Rebate Estimator'!$H32="yes",'HVAC Rebate Estimator'!$J32*(1-Lookups!$I$9)^(2016-'HVAC Rebate Estimator'!$L32),Lookups!$H$30)))-(1/IF('HVAC Rebate Estimator'!$G32="Yes",'HVAC Rebate Estimator'!$F32*Lookups!$E$44,'HVAC Rebate Estimator'!$F32))),"")*'HVAC Rebate Estimator'!$B32,"")</f>
        <v/>
      </c>
      <c r="P44" s="254" t="e">
        <f>(IF('HVAC Rebate Estimator'!H32="yes",'Incremental Cost'!$I$50*'HVAC Rebate Estimator'!U32,'Incremental Cost'!$H$50*'HVAC Rebate Estimator'!U32)+'HVAC Rebate Estimator'!X32)/(('HVAC Rebate Estimator'!O32)*Lookups!$M$3)</f>
        <v>#VALUE!</v>
      </c>
    </row>
    <row r="45" spans="1:16" x14ac:dyDescent="0.2">
      <c r="A45" s="189" t="s">
        <v>132</v>
      </c>
      <c r="B45" s="126">
        <v>10</v>
      </c>
      <c r="C45" s="254">
        <v>11600</v>
      </c>
      <c r="D45" s="191">
        <f t="shared" si="6"/>
        <v>1160</v>
      </c>
      <c r="E45" s="254">
        <f t="shared" si="4"/>
        <v>13040</v>
      </c>
      <c r="F45" s="254">
        <f t="shared" si="5"/>
        <v>1304</v>
      </c>
      <c r="G45" s="222"/>
      <c r="H45" s="126"/>
      <c r="I45" s="126"/>
      <c r="K45" s="126" t="s">
        <v>10</v>
      </c>
      <c r="L45" s="319">
        <v>1</v>
      </c>
      <c r="M45" s="279">
        <f>IFERROR(ROUND((O45-N45)*Lookups!$M$3*P45/'HVAC Rebate Estimator'!U33,0)*L45,0)</f>
        <v>0</v>
      </c>
      <c r="N45" s="136" t="str">
        <f>IFERROR(IFERROR((('HVAC Rebate Estimator'!$D33*12000)/1000)*'HVAC Rebate Estimator'!$N33*((1/(IF('HVAC Rebate Estimator'!$H33="yes",'HVAC Rebate Estimator'!$J33*(1-Lookups!$I$9)^(2016-'HVAC Rebate Estimator'!$L33),Lookups!$H$30)))-(1/IF('HVAC Rebate Estimator'!$G33="Yes",12*Lookups!$E$44,12))),"")*'HVAC Rebate Estimator'!$B33,"")</f>
        <v/>
      </c>
      <c r="O45" s="136" t="str">
        <f>IFERROR(IFERROR((('HVAC Rebate Estimator'!$D33*12000)/1000)*'HVAC Rebate Estimator'!$N33*((1/(IF('HVAC Rebate Estimator'!$H33="yes",'HVAC Rebate Estimator'!$J33*(1-Lookups!$I$9)^(2016-'HVAC Rebate Estimator'!$L33),Lookups!$H$30)))-(1/IF('HVAC Rebate Estimator'!$G33="Yes",'HVAC Rebate Estimator'!$F33*Lookups!$E$44,'HVAC Rebate Estimator'!$F33))),"")*'HVAC Rebate Estimator'!$B33,"")</f>
        <v/>
      </c>
      <c r="P45" s="254" t="e">
        <f>(IF('HVAC Rebate Estimator'!H33="yes",'Incremental Cost'!$I$50*'HVAC Rebate Estimator'!U33,'Incremental Cost'!$H$50*'HVAC Rebate Estimator'!U33)+'HVAC Rebate Estimator'!X33)/(('HVAC Rebate Estimator'!O33)*Lookups!$M$3)</f>
        <v>#VALUE!</v>
      </c>
    </row>
    <row r="46" spans="1:16" x14ac:dyDescent="0.2">
      <c r="A46" s="189" t="s">
        <v>133</v>
      </c>
      <c r="B46" s="126">
        <v>12.5</v>
      </c>
      <c r="C46" s="254">
        <v>14900</v>
      </c>
      <c r="D46" s="191">
        <f t="shared" si="6"/>
        <v>1192</v>
      </c>
      <c r="E46" s="254">
        <f t="shared" si="4"/>
        <v>16700</v>
      </c>
      <c r="F46" s="254">
        <f t="shared" si="5"/>
        <v>1336</v>
      </c>
      <c r="G46" s="222"/>
      <c r="H46" s="126"/>
      <c r="I46" s="126"/>
      <c r="K46" s="126" t="s">
        <v>10</v>
      </c>
      <c r="L46" s="319">
        <v>1</v>
      </c>
      <c r="M46" s="279">
        <f>IFERROR(ROUND((O46-N46)*Lookups!$M$3*P46/'HVAC Rebate Estimator'!U34,0)*L46,0)</f>
        <v>0</v>
      </c>
      <c r="N46" s="136" t="str">
        <f>IFERROR(IFERROR((('HVAC Rebate Estimator'!$D34*12000)/1000)*'HVAC Rebate Estimator'!$N34*((1/(IF('HVAC Rebate Estimator'!$H34="yes",'HVAC Rebate Estimator'!$J34*(1-Lookups!$I$9)^(2016-'HVAC Rebate Estimator'!$L34),Lookups!$H$30)))-(1/IF('HVAC Rebate Estimator'!$G34="Yes",12*Lookups!$E$44,12))),"")*'HVAC Rebate Estimator'!$B34,"")</f>
        <v/>
      </c>
      <c r="O46" s="136" t="str">
        <f>IFERROR(IFERROR((('HVAC Rebate Estimator'!$D34*12000)/1000)*'HVAC Rebate Estimator'!$N34*((1/(IF('HVAC Rebate Estimator'!$H34="yes",'HVAC Rebate Estimator'!$J34*(1-Lookups!$I$9)^(2016-'HVAC Rebate Estimator'!$L34),Lookups!$H$30)))-(1/IF('HVAC Rebate Estimator'!$G34="Yes",'HVAC Rebate Estimator'!$F34*Lookups!$E$44,'HVAC Rebate Estimator'!$F34))),"")*'HVAC Rebate Estimator'!$B34,"")</f>
        <v/>
      </c>
      <c r="P46" s="254" t="e">
        <f>(IF('HVAC Rebate Estimator'!H34="yes",'Incremental Cost'!$I$50*'HVAC Rebate Estimator'!U34,'Incremental Cost'!$H$50*'HVAC Rebate Estimator'!U34)+'HVAC Rebate Estimator'!X34)/(('HVAC Rebate Estimator'!O34)*Lookups!$M$3)</f>
        <v>#VALUE!</v>
      </c>
    </row>
    <row r="47" spans="1:16" x14ac:dyDescent="0.2">
      <c r="A47" s="189" t="s">
        <v>134</v>
      </c>
      <c r="B47" s="126">
        <v>15</v>
      </c>
      <c r="C47" s="254">
        <v>17000</v>
      </c>
      <c r="D47" s="191">
        <f t="shared" si="6"/>
        <v>1133.3333333333333</v>
      </c>
      <c r="E47" s="254">
        <f t="shared" si="4"/>
        <v>19160</v>
      </c>
      <c r="F47" s="254">
        <f t="shared" si="5"/>
        <v>1277.3333333333333</v>
      </c>
      <c r="G47" s="222"/>
      <c r="H47" s="126"/>
      <c r="I47" s="126"/>
      <c r="K47" s="126" t="s">
        <v>9</v>
      </c>
      <c r="L47" s="319">
        <v>1</v>
      </c>
      <c r="M47" s="279">
        <f>IFERROR(ROUND((O47-N47)*Lookups!$M$3*P47/'HVAC Rebate Estimator'!U35,0)*L47,0)</f>
        <v>0</v>
      </c>
      <c r="N47" s="136" t="str">
        <f>IFERROR(IFERROR((('HVAC Rebate Estimator'!$D35*12000)/1000)*'HVAC Rebate Estimator'!$N35*((1/(IF('HVAC Rebate Estimator'!$H35="yes",'HVAC Rebate Estimator'!$J35*(1-Lookups!$I$9)^(2016-'HVAC Rebate Estimator'!$L35),Lookups!$J$30)))-(1/IF('HVAC Rebate Estimator'!$G35="Yes",12*Lookups!$E$44,12))),"")*'HVAC Rebate Estimator'!$B35,"")</f>
        <v/>
      </c>
      <c r="O47" s="136" t="str">
        <f>IFERROR(IFERROR((('HVAC Rebate Estimator'!$D35*12000)/1000)*'HVAC Rebate Estimator'!$N35*((1/(IF('HVAC Rebate Estimator'!$H35="yes",'HVAC Rebate Estimator'!$J35*(1-Lookups!$I$9)^(2016-'HVAC Rebate Estimator'!$L35),Lookups!$J$30)))-(1/IF('HVAC Rebate Estimator'!$G35="Yes",'HVAC Rebate Estimator'!$F35*Lookups!$E$44,'HVAC Rebate Estimator'!$F35))),"")*'HVAC Rebate Estimator'!$B35,"")</f>
        <v/>
      </c>
      <c r="P47" s="254" t="e">
        <f>(IF('HVAC Rebate Estimator'!H35="yes",'Incremental Cost'!$I$50*'HVAC Rebate Estimator'!U35,'Incremental Cost'!$H$50*'HVAC Rebate Estimator'!U35)+'HVAC Rebate Estimator'!X35)/(('HVAC Rebate Estimator'!O35)*Lookups!$M$3)</f>
        <v>#VALUE!</v>
      </c>
    </row>
    <row r="48" spans="1:16" x14ac:dyDescent="0.2">
      <c r="A48" s="189" t="s">
        <v>135</v>
      </c>
      <c r="B48" s="126">
        <v>17.5</v>
      </c>
      <c r="C48" s="254">
        <v>17800</v>
      </c>
      <c r="D48" s="191">
        <f t="shared" si="6"/>
        <v>1017.1428571428571</v>
      </c>
      <c r="E48" s="254">
        <f t="shared" si="4"/>
        <v>20320</v>
      </c>
      <c r="F48" s="254">
        <f t="shared" si="5"/>
        <v>1161.1428571428571</v>
      </c>
      <c r="G48" s="222"/>
      <c r="H48" s="126"/>
      <c r="I48" s="126"/>
      <c r="K48" s="126" t="s">
        <v>9</v>
      </c>
      <c r="L48" s="319">
        <v>1</v>
      </c>
      <c r="M48" s="279">
        <f>IFERROR(ROUND((O48-N48)*Lookups!$M$3*P48/'HVAC Rebate Estimator'!U36,0)*L48,0)</f>
        <v>0</v>
      </c>
      <c r="N48" s="136" t="str">
        <f>IFERROR(IFERROR((('HVAC Rebate Estimator'!$D36*12000)/1000)*'HVAC Rebate Estimator'!$N36*((1/(IF('HVAC Rebate Estimator'!$H36="yes",'HVAC Rebate Estimator'!$J36*(1-Lookups!$I$9)^(2016-'HVAC Rebate Estimator'!$L36),Lookups!$J$30)))-(1/IF('HVAC Rebate Estimator'!$G36="Yes",12*Lookups!$E$44,12))),"")*'HVAC Rebate Estimator'!$B36,"")</f>
        <v/>
      </c>
      <c r="O48" s="136" t="str">
        <f>IFERROR(IFERROR((('HVAC Rebate Estimator'!$D36*12000)/1000)*'HVAC Rebate Estimator'!$N36*((1/(IF('HVAC Rebate Estimator'!$H36="yes",'HVAC Rebate Estimator'!$J36*(1-Lookups!$I$9)^(2016-'HVAC Rebate Estimator'!$L36),Lookups!$J$30)))-(1/IF('HVAC Rebate Estimator'!$G36="Yes",'HVAC Rebate Estimator'!$F36*Lookups!$E$44,'HVAC Rebate Estimator'!$F36))),"")*'HVAC Rebate Estimator'!$B36,"")</f>
        <v/>
      </c>
      <c r="P48" s="254" t="e">
        <f>(IF('HVAC Rebate Estimator'!H36="yes",'Incremental Cost'!$I$50*'HVAC Rebate Estimator'!U36,'Incremental Cost'!$H$50*'HVAC Rebate Estimator'!U36)+'HVAC Rebate Estimator'!X36)/(('HVAC Rebate Estimator'!O36)*Lookups!$M$3)</f>
        <v>#VALUE!</v>
      </c>
    </row>
    <row r="49" spans="1:16" x14ac:dyDescent="0.2">
      <c r="A49" s="189" t="s">
        <v>136</v>
      </c>
      <c r="B49" s="126">
        <v>20</v>
      </c>
      <c r="C49" s="254">
        <v>23800</v>
      </c>
      <c r="D49" s="191">
        <f t="shared" si="6"/>
        <v>1190</v>
      </c>
      <c r="E49" s="254">
        <f t="shared" si="4"/>
        <v>26680</v>
      </c>
      <c r="F49" s="254">
        <f t="shared" si="5"/>
        <v>1334</v>
      </c>
      <c r="G49" s="222"/>
      <c r="H49" s="126"/>
      <c r="I49" s="126"/>
      <c r="K49" s="126" t="s">
        <v>9</v>
      </c>
      <c r="L49" s="319">
        <v>1</v>
      </c>
      <c r="M49" s="279">
        <f>IFERROR(ROUND((O49-N49)*Lookups!$M$3*P49/'HVAC Rebate Estimator'!U37,0)*L49,0)</f>
        <v>0</v>
      </c>
      <c r="N49" s="136" t="str">
        <f>IFERROR(IFERROR((('HVAC Rebate Estimator'!$D37*12000)/1000)*'HVAC Rebate Estimator'!$N37*((1/(IF('HVAC Rebate Estimator'!$H37="yes",'HVAC Rebate Estimator'!$J37*(1-Lookups!$I$9)^(2016-'HVAC Rebate Estimator'!$L37),Lookups!$J$30)))-(1/IF('HVAC Rebate Estimator'!$G37="Yes",12*Lookups!$E$44,12))),"")*'HVAC Rebate Estimator'!$B37,"")</f>
        <v/>
      </c>
      <c r="O49" s="136" t="str">
        <f>IFERROR(IFERROR((('HVAC Rebate Estimator'!$D37*12000)/1000)*'HVAC Rebate Estimator'!$N37*((1/(IF('HVAC Rebate Estimator'!$H37="yes",'HVAC Rebate Estimator'!$J37*(1-Lookups!$I$9)^(2016-'HVAC Rebate Estimator'!$L37),Lookups!$J$30)))-(1/IF('HVAC Rebate Estimator'!$G37="Yes",'HVAC Rebate Estimator'!$F37*Lookups!$E$44,'HVAC Rebate Estimator'!$F37))),"")*'HVAC Rebate Estimator'!$B37,"")</f>
        <v/>
      </c>
      <c r="P49" s="254" t="e">
        <f>(IF('HVAC Rebate Estimator'!H37="yes",'Incremental Cost'!$I$50*'HVAC Rebate Estimator'!U37,'Incremental Cost'!$H$50*'HVAC Rebate Estimator'!U37)+'HVAC Rebate Estimator'!X37)/(('HVAC Rebate Estimator'!O37)*Lookups!$M$3)</f>
        <v>#VALUE!</v>
      </c>
    </row>
    <row r="50" spans="1:16" x14ac:dyDescent="0.2">
      <c r="C50" s="59" t="s">
        <v>286</v>
      </c>
      <c r="D50" s="255">
        <f>AVERAGE(D39:D49)</f>
        <v>1119.4563916475681</v>
      </c>
      <c r="E50" s="256"/>
      <c r="F50" s="255">
        <f>AVERAGE(F39:F49)</f>
        <v>1263.4563916475681</v>
      </c>
      <c r="G50" s="233">
        <v>65</v>
      </c>
      <c r="H50" s="293">
        <f>D30-G50</f>
        <v>79</v>
      </c>
      <c r="I50" s="294">
        <f>ROUND(F50*30%-G50,0)</f>
        <v>314</v>
      </c>
      <c r="K50" s="126" t="s">
        <v>9</v>
      </c>
      <c r="L50" s="319">
        <v>1</v>
      </c>
      <c r="M50" s="279">
        <f>IFERROR(ROUND((O50-N50)*Lookups!$M$3*P50/'HVAC Rebate Estimator'!U38,0)*L50,0)</f>
        <v>0</v>
      </c>
      <c r="N50" s="136" t="str">
        <f>IFERROR(IFERROR((('HVAC Rebate Estimator'!$D38*12000)/1000)*'HVAC Rebate Estimator'!$N38*((1/(IF('HVAC Rebate Estimator'!$H38="yes",'HVAC Rebate Estimator'!$J38*(1-Lookups!$I$9)^(2016-'HVAC Rebate Estimator'!$L38),Lookups!$J$30)))-(1/IF('HVAC Rebate Estimator'!$G38="Yes",12*Lookups!$E$44,12))),"")*'HVAC Rebate Estimator'!$B38,"")</f>
        <v/>
      </c>
      <c r="O50" s="136" t="str">
        <f>IFERROR(IFERROR((('HVAC Rebate Estimator'!$D38*12000)/1000)*'HVAC Rebate Estimator'!$N38*((1/(IF('HVAC Rebate Estimator'!$H38="yes",'HVAC Rebate Estimator'!$J38*(1-Lookups!$I$9)^(2016-'HVAC Rebate Estimator'!$L38),Lookups!$J$30)))-(1/IF('HVAC Rebate Estimator'!$G38="Yes",'HVAC Rebate Estimator'!$F38*Lookups!$E$44,'HVAC Rebate Estimator'!$F38))),"")*'HVAC Rebate Estimator'!$B38,"")</f>
        <v/>
      </c>
      <c r="P50" s="254" t="e">
        <f>(IF('HVAC Rebate Estimator'!H38="yes",'Incremental Cost'!$I$50*'HVAC Rebate Estimator'!U38,'Incremental Cost'!$H$50*'HVAC Rebate Estimator'!U38)+'HVAC Rebate Estimator'!X38)/(('HVAC Rebate Estimator'!O38)*Lookups!$M$3)</f>
        <v>#VALUE!</v>
      </c>
    </row>
    <row r="51" spans="1:16" x14ac:dyDescent="0.2">
      <c r="K51" s="126" t="s">
        <v>114</v>
      </c>
      <c r="L51" s="319">
        <v>1</v>
      </c>
      <c r="M51" s="279">
        <f>IFERROR(ROUND((O51-N51)*Lookups!$M$3*P51/'HVAC Rebate Estimator'!U39,0)*L51,0)</f>
        <v>0</v>
      </c>
      <c r="N51" s="136" t="str">
        <f>IFERROR(IFERROR((('HVAC Rebate Estimator'!$D39*12000)/1000)*'HVAC Rebate Estimator'!$N39*((1/(IF('HVAC Rebate Estimator'!$H39="yes",'HVAC Rebate Estimator'!$J39*(1-Lookups!$I$9)^(2016-'HVAC Rebate Estimator'!$L39),Lookups!$F$30)))-(1/15)),"")*'HVAC Rebate Estimator'!$B39,"")</f>
        <v/>
      </c>
      <c r="O51" s="136" t="str">
        <f>IFERROR(IFERROR((('HVAC Rebate Estimator'!$D39*12000)/1000)*'HVAC Rebate Estimator'!$N39*((1/(IF('HVAC Rebate Estimator'!$H39="yes",'HVAC Rebate Estimator'!$J39*(1-Lookups!$I$9)^(2016-'HVAC Rebate Estimator'!$L39),Lookups!$F$30)))-(1/'HVAC Rebate Estimator'!$F39)),"")*'HVAC Rebate Estimator'!$B39,"")</f>
        <v/>
      </c>
      <c r="P51" s="254" t="e">
        <f>(IF('HVAC Rebate Estimator'!H39="yes",'Incremental Cost'!$I$50*'HVAC Rebate Estimator'!U39,'Incremental Cost'!$H$50*'HVAC Rebate Estimator'!U39)+'HVAC Rebate Estimator'!X39)/(('HVAC Rebate Estimator'!O39)*Lookups!$M$3)</f>
        <v>#VALUE!</v>
      </c>
    </row>
    <row r="52" spans="1:16" x14ac:dyDescent="0.2">
      <c r="A52" s="465" t="s">
        <v>334</v>
      </c>
      <c r="B52" s="465"/>
      <c r="C52" s="465"/>
      <c r="D52" s="465"/>
      <c r="E52" s="465"/>
      <c r="K52" s="126" t="s">
        <v>114</v>
      </c>
      <c r="L52" s="319">
        <v>1</v>
      </c>
      <c r="M52" s="279">
        <f>IFERROR(ROUND((O52-N52)*Lookups!$M$3*P52/'HVAC Rebate Estimator'!U40,0)*L52,0)</f>
        <v>0</v>
      </c>
      <c r="N52" s="136" t="str">
        <f>IFERROR(IFERROR((('HVAC Rebate Estimator'!$D40*12000)/1000)*'HVAC Rebate Estimator'!$N40*((1/(IF('HVAC Rebate Estimator'!$H40="yes",'HVAC Rebate Estimator'!$J40*(1-Lookups!$I$9)^(2016-'HVAC Rebate Estimator'!$L40),Lookups!$F$30)))-(1/15)),"")*'HVAC Rebate Estimator'!$B40,"")</f>
        <v/>
      </c>
      <c r="O52" s="136" t="str">
        <f>IFERROR(IFERROR((('HVAC Rebate Estimator'!$D40*12000)/1000)*'HVAC Rebate Estimator'!$N40*((1/(IF('HVAC Rebate Estimator'!$H40="yes",'HVAC Rebate Estimator'!$J40*(1-Lookups!$I$9)^(2016-'HVAC Rebate Estimator'!$L40),Lookups!$F$30)))-(1/'HVAC Rebate Estimator'!$F40)),"")*'HVAC Rebate Estimator'!$B40,"")</f>
        <v/>
      </c>
      <c r="P52" s="254" t="e">
        <f>(IF('HVAC Rebate Estimator'!H40="yes",'Incremental Cost'!$I$50*'HVAC Rebate Estimator'!U40,'Incremental Cost'!$H$50*'HVAC Rebate Estimator'!U40)+'HVAC Rebate Estimator'!X40)/(('HVAC Rebate Estimator'!O40)*Lookups!$M$3)</f>
        <v>#VALUE!</v>
      </c>
    </row>
    <row r="53" spans="1:16" x14ac:dyDescent="0.2">
      <c r="A53" s="142"/>
      <c r="B53" s="73" t="s">
        <v>137</v>
      </c>
      <c r="C53" s="193" t="s">
        <v>301</v>
      </c>
      <c r="K53" s="126" t="s">
        <v>114</v>
      </c>
      <c r="L53" s="319">
        <v>1</v>
      </c>
      <c r="M53" s="279">
        <f>IFERROR(ROUND((O53-N53)*Lookups!$M$3*P53/'HVAC Rebate Estimator'!U41,0)*L53,0)</f>
        <v>0</v>
      </c>
      <c r="N53" s="136" t="str">
        <f>IFERROR(IFERROR((('HVAC Rebate Estimator'!$D41*12000)/1000)*'HVAC Rebate Estimator'!$N41*((1/(IF('HVAC Rebate Estimator'!$H41="yes",'HVAC Rebate Estimator'!$J41*(1-Lookups!$I$9)^(2016-'HVAC Rebate Estimator'!$L41),Lookups!$F$30)))-(1/15)),"")*'HVAC Rebate Estimator'!$B41,"")</f>
        <v/>
      </c>
      <c r="O53" s="136" t="str">
        <f>IFERROR(IFERROR((('HVAC Rebate Estimator'!$D41*12000)/1000)*'HVAC Rebate Estimator'!$N41*((1/(IF('HVAC Rebate Estimator'!$H41="yes",'HVAC Rebate Estimator'!$J41*(1-Lookups!$I$9)^(2016-'HVAC Rebate Estimator'!$L41),Lookups!$F$30)))-(1/'HVAC Rebate Estimator'!$F41)),"")*'HVAC Rebate Estimator'!$B41,"")</f>
        <v/>
      </c>
      <c r="P53" s="254" t="e">
        <f>(IF('HVAC Rebate Estimator'!H41="yes",'Incremental Cost'!$I$50*'HVAC Rebate Estimator'!U41,'Incremental Cost'!$H$50*'HVAC Rebate Estimator'!U41)+'HVAC Rebate Estimator'!X41)/(('HVAC Rebate Estimator'!O41)*Lookups!$M$3)</f>
        <v>#VALUE!</v>
      </c>
    </row>
    <row r="54" spans="1:16" ht="38.25" x14ac:dyDescent="0.2">
      <c r="A54" s="205" t="s">
        <v>163</v>
      </c>
      <c r="B54" s="210" t="s">
        <v>290</v>
      </c>
      <c r="C54" s="164" t="s">
        <v>287</v>
      </c>
      <c r="D54" s="302" t="s">
        <v>300</v>
      </c>
      <c r="E54" s="302" t="s">
        <v>299</v>
      </c>
      <c r="K54" s="126" t="s">
        <v>114</v>
      </c>
      <c r="L54" s="319">
        <v>1</v>
      </c>
      <c r="M54" s="279">
        <f>IFERROR(ROUND((O54-N54)*Lookups!$M$3*P54/'HVAC Rebate Estimator'!U42,0)*L54,0)</f>
        <v>0</v>
      </c>
      <c r="N54" s="136" t="str">
        <f>IFERROR(IFERROR((('HVAC Rebate Estimator'!$D42*12000)/1000)*'HVAC Rebate Estimator'!$N42*((1/(IF('HVAC Rebate Estimator'!$H42="yes",'HVAC Rebate Estimator'!$J42*(1-Lookups!$I$9)^(2016-'HVAC Rebate Estimator'!$L42),Lookups!$F$30)))-(1/15)),"")*'HVAC Rebate Estimator'!$B42,"")</f>
        <v/>
      </c>
      <c r="O54" s="136" t="str">
        <f>IFERROR(IFERROR((('HVAC Rebate Estimator'!$D42*12000)/1000)*'HVAC Rebate Estimator'!$N42*((1/(IF('HVAC Rebate Estimator'!$H42="yes",'HVAC Rebate Estimator'!$J42*(1-Lookups!$I$9)^(2016-'HVAC Rebate Estimator'!$L42),Lookups!$F$30)))-(1/'HVAC Rebate Estimator'!$F42)),"")*'HVAC Rebate Estimator'!$B42,"")</f>
        <v/>
      </c>
      <c r="P54" s="254" t="e">
        <f>(IF('HVAC Rebate Estimator'!H42="yes",'Incremental Cost'!$I$50*'HVAC Rebate Estimator'!U42,'Incremental Cost'!$H$50*'HVAC Rebate Estimator'!U42)+'HVAC Rebate Estimator'!X42)/(('HVAC Rebate Estimator'!O42)*Lookups!$M$3)</f>
        <v>#VALUE!</v>
      </c>
    </row>
    <row r="55" spans="1:16" x14ac:dyDescent="0.2">
      <c r="A55" s="140" t="s">
        <v>164</v>
      </c>
      <c r="B55" s="141">
        <v>2425</v>
      </c>
      <c r="C55" s="191">
        <v>600</v>
      </c>
      <c r="D55" s="192" t="s">
        <v>104</v>
      </c>
      <c r="E55" s="296">
        <f>ROUND(B55*50%-C55,0)</f>
        <v>613</v>
      </c>
      <c r="F55" s="243">
        <f>C55/B55</f>
        <v>0.24742268041237114</v>
      </c>
      <c r="K55" s="126" t="s">
        <v>11</v>
      </c>
      <c r="L55" s="319">
        <v>1</v>
      </c>
      <c r="M55" s="279">
        <f>IFERROR(ROUND((O55-N55)*Lookups!$M$3*P55/'HVAC Rebate Estimator'!U43,0)*L55,0)</f>
        <v>0</v>
      </c>
      <c r="N55" s="136" t="str">
        <f>IFERROR(IFERROR((('HVAC Rebate Estimator'!$D43*12000)/1000)*'HVAC Rebate Estimator'!$N43*((1/(IF('HVAC Rebate Estimator'!$H43="yes",'HVAC Rebate Estimator'!$J43*(1-Lookups!$I$9)^(2016-'HVAC Rebate Estimator'!$L43),Lookups!$F$30)))-(1/15)),"")*'HVAC Rebate Estimator'!$B43,"")</f>
        <v/>
      </c>
      <c r="O55" s="136" t="str">
        <f>IFERROR(IFERROR((('HVAC Rebate Estimator'!$D43*12000)/1000)*'HVAC Rebate Estimator'!$N43*((1/(IF('HVAC Rebate Estimator'!$H43="yes",'HVAC Rebate Estimator'!$J43*(1-Lookups!$I$9)^(2016-'HVAC Rebate Estimator'!$L43),Lookups!$F$30)))-(1/'HVAC Rebate Estimator'!$F43)),"")*'HVAC Rebate Estimator'!$B43,"")</f>
        <v/>
      </c>
      <c r="P55" s="254" t="e">
        <f>(IF('HVAC Rebate Estimator'!H43="yes",'Incremental Cost'!$I$50*'HVAC Rebate Estimator'!U43,'Incremental Cost'!$H$50*'HVAC Rebate Estimator'!U43)+'HVAC Rebate Estimator'!X43)/(('HVAC Rebate Estimator'!O43)*Lookups!$M$3)</f>
        <v>#VALUE!</v>
      </c>
    </row>
    <row r="56" spans="1:16" x14ac:dyDescent="0.2">
      <c r="A56" s="140" t="s">
        <v>165</v>
      </c>
      <c r="B56" s="141">
        <v>2625</v>
      </c>
      <c r="C56" s="191">
        <v>900</v>
      </c>
      <c r="D56" s="192" t="s">
        <v>104</v>
      </c>
      <c r="E56" s="296">
        <f t="shared" ref="E56:E67" si="7">ROUND(B56*50%-C56,0)</f>
        <v>413</v>
      </c>
      <c r="F56" s="243">
        <f t="shared" ref="F56:F67" si="8">C56/B56</f>
        <v>0.34285714285714286</v>
      </c>
      <c r="K56" s="126" t="s">
        <v>11</v>
      </c>
      <c r="L56" s="319">
        <v>1</v>
      </c>
      <c r="M56" s="279">
        <f>IFERROR(ROUND((O56-N56)*Lookups!$M$3*P56/'HVAC Rebate Estimator'!U44,0)*L56,0)</f>
        <v>0</v>
      </c>
      <c r="N56" s="136" t="str">
        <f>IFERROR(IFERROR((('HVAC Rebate Estimator'!$D44*12000)/1000)*'HVAC Rebate Estimator'!$N44*((1/(IF('HVAC Rebate Estimator'!$H44="yes",'HVAC Rebate Estimator'!$J44*(1-Lookups!$I$9)^(2016-'HVAC Rebate Estimator'!$L44),Lookups!$F$30)))-(1/15)),"")*'HVAC Rebate Estimator'!$B44,"")</f>
        <v/>
      </c>
      <c r="O56" s="136" t="str">
        <f>IFERROR(IFERROR((('HVAC Rebate Estimator'!$D44*12000)/1000)*'HVAC Rebate Estimator'!$N44*((1/(IF('HVAC Rebate Estimator'!$H44="yes",'HVAC Rebate Estimator'!$J44*(1-Lookups!$I$9)^(2016-'HVAC Rebate Estimator'!$L44),Lookups!$F$30)))-(1/'HVAC Rebate Estimator'!$F44)),"")*'HVAC Rebate Estimator'!$B44,"")</f>
        <v/>
      </c>
      <c r="P56" s="254" t="e">
        <f>(IF('HVAC Rebate Estimator'!H44="yes",'Incremental Cost'!$I$50*'HVAC Rebate Estimator'!U44,'Incremental Cost'!$H$50*'HVAC Rebate Estimator'!U44)+'HVAC Rebate Estimator'!X44)/(('HVAC Rebate Estimator'!O44)*Lookups!$M$3)</f>
        <v>#VALUE!</v>
      </c>
    </row>
    <row r="57" spans="1:16" x14ac:dyDescent="0.2">
      <c r="A57" s="140" t="s">
        <v>166</v>
      </c>
      <c r="B57" s="141">
        <v>3150</v>
      </c>
      <c r="C57" s="191">
        <v>1130</v>
      </c>
      <c r="D57" s="192" t="s">
        <v>104</v>
      </c>
      <c r="E57" s="296">
        <f t="shared" si="7"/>
        <v>445</v>
      </c>
      <c r="F57" s="243">
        <f t="shared" si="8"/>
        <v>0.35873015873015873</v>
      </c>
      <c r="K57" s="126" t="s">
        <v>11</v>
      </c>
      <c r="L57" s="319">
        <v>1</v>
      </c>
      <c r="M57" s="279">
        <f>IFERROR(ROUND((O57-N57)*Lookups!$M$3*P57/'HVAC Rebate Estimator'!U45,0)*L57,0)</f>
        <v>0</v>
      </c>
      <c r="N57" s="136" t="str">
        <f>IFERROR(IFERROR((('HVAC Rebate Estimator'!$D45*12000)/1000)*'HVAC Rebate Estimator'!$N45*((1/(IF('HVAC Rebate Estimator'!$H45="yes",'HVAC Rebate Estimator'!$J45*(1-Lookups!$I$9)^(2016-'HVAC Rebate Estimator'!$L45),Lookups!$F$30)))-(1/15)),"")*'HVAC Rebate Estimator'!$B45,"")</f>
        <v/>
      </c>
      <c r="O57" s="136" t="str">
        <f>IFERROR(IFERROR((('HVAC Rebate Estimator'!$D45*12000)/1000)*'HVAC Rebate Estimator'!$N45*((1/(IF('HVAC Rebate Estimator'!$H45="yes",'HVAC Rebate Estimator'!$J45*(1-Lookups!$I$9)^(2016-'HVAC Rebate Estimator'!$L45),Lookups!$F$30)))-(1/'HVAC Rebate Estimator'!$F45)),"")*'HVAC Rebate Estimator'!$B45,"")</f>
        <v/>
      </c>
      <c r="P57" s="254" t="e">
        <f>(IF('HVAC Rebate Estimator'!H45="yes",'Incremental Cost'!$I$50*'HVAC Rebate Estimator'!U45,'Incremental Cost'!$H$50*'HVAC Rebate Estimator'!U45)+'HVAC Rebate Estimator'!X45)/(('HVAC Rebate Estimator'!O45)*Lookups!$M$3)</f>
        <v>#VALUE!</v>
      </c>
    </row>
    <row r="58" spans="1:16" x14ac:dyDescent="0.2">
      <c r="A58" s="140" t="s">
        <v>167</v>
      </c>
      <c r="B58" s="141">
        <v>3500</v>
      </c>
      <c r="C58" s="191">
        <v>1350</v>
      </c>
      <c r="D58" s="192" t="s">
        <v>104</v>
      </c>
      <c r="E58" s="296">
        <f t="shared" si="7"/>
        <v>400</v>
      </c>
      <c r="F58" s="243">
        <f t="shared" si="8"/>
        <v>0.38571428571428573</v>
      </c>
      <c r="K58" s="126" t="s">
        <v>11</v>
      </c>
      <c r="L58" s="319">
        <v>1</v>
      </c>
      <c r="M58" s="279">
        <f>IFERROR(ROUND((O58-N58)*Lookups!$M$3*P58/'HVAC Rebate Estimator'!U46,0)*L58,0)</f>
        <v>0</v>
      </c>
      <c r="N58" s="136" t="str">
        <f>IFERROR(IFERROR((('HVAC Rebate Estimator'!$D46*12000)/1000)*'HVAC Rebate Estimator'!$N46*((1/(IF('HVAC Rebate Estimator'!$H46="yes",'HVAC Rebate Estimator'!$J46*(1-Lookups!$I$9)^(2016-'HVAC Rebate Estimator'!$L46),Lookups!$F$30)))-(1/15)),"")*'HVAC Rebate Estimator'!$B46,"")</f>
        <v/>
      </c>
      <c r="O58" s="136" t="str">
        <f>IFERROR(IFERROR((('HVAC Rebate Estimator'!$D46*12000)/1000)*'HVAC Rebate Estimator'!$N46*((1/(IF('HVAC Rebate Estimator'!$H46="yes",'HVAC Rebate Estimator'!$J46*(1-Lookups!$I$9)^(2016-'HVAC Rebate Estimator'!$L46),Lookups!$F$30)))-(1/'HVAC Rebate Estimator'!$F46)),"")*'HVAC Rebate Estimator'!$B46,"")</f>
        <v/>
      </c>
      <c r="P58" s="254" t="e">
        <f>(IF('HVAC Rebate Estimator'!H46="yes",'Incremental Cost'!$I$50*'HVAC Rebate Estimator'!U46,'Incremental Cost'!$H$50*'HVAC Rebate Estimator'!U46)+'HVAC Rebate Estimator'!X46)/(('HVAC Rebate Estimator'!O46)*Lookups!$M$3)</f>
        <v>#VALUE!</v>
      </c>
    </row>
    <row r="59" spans="1:16" x14ac:dyDescent="0.2">
      <c r="A59" s="140" t="s">
        <v>168</v>
      </c>
      <c r="B59" s="141">
        <v>4525</v>
      </c>
      <c r="C59" s="191">
        <v>1800</v>
      </c>
      <c r="D59" s="192" t="s">
        <v>104</v>
      </c>
      <c r="E59" s="296">
        <f t="shared" si="7"/>
        <v>463</v>
      </c>
      <c r="F59" s="243">
        <f t="shared" si="8"/>
        <v>0.39779005524861877</v>
      </c>
    </row>
    <row r="60" spans="1:16" x14ac:dyDescent="0.2">
      <c r="A60" s="140" t="s">
        <v>169</v>
      </c>
      <c r="B60" s="141">
        <v>5075</v>
      </c>
      <c r="C60" s="191">
        <v>2300</v>
      </c>
      <c r="D60" s="192" t="s">
        <v>104</v>
      </c>
      <c r="E60" s="296">
        <f t="shared" si="7"/>
        <v>238</v>
      </c>
      <c r="F60" s="243">
        <f t="shared" si="8"/>
        <v>0.45320197044334976</v>
      </c>
    </row>
    <row r="61" spans="1:16" x14ac:dyDescent="0.2">
      <c r="A61" s="140" t="s">
        <v>170</v>
      </c>
      <c r="B61" s="141">
        <v>6400</v>
      </c>
      <c r="C61" s="191">
        <v>2750</v>
      </c>
      <c r="D61" s="192" t="s">
        <v>104</v>
      </c>
      <c r="E61" s="296">
        <f t="shared" si="7"/>
        <v>450</v>
      </c>
      <c r="F61" s="243">
        <f t="shared" si="8"/>
        <v>0.4296875</v>
      </c>
    </row>
    <row r="62" spans="1:16" x14ac:dyDescent="0.2">
      <c r="A62" s="140" t="s">
        <v>172</v>
      </c>
      <c r="B62" s="141">
        <v>7525</v>
      </c>
      <c r="C62" s="191">
        <v>3200</v>
      </c>
      <c r="D62" s="192" t="s">
        <v>104</v>
      </c>
      <c r="E62" s="296">
        <f t="shared" si="7"/>
        <v>563</v>
      </c>
      <c r="F62" s="243">
        <f t="shared" si="8"/>
        <v>0.42524916943521596</v>
      </c>
    </row>
    <row r="63" spans="1:16" x14ac:dyDescent="0.2">
      <c r="A63" s="140" t="s">
        <v>171</v>
      </c>
      <c r="B63" s="141">
        <v>8650</v>
      </c>
      <c r="C63" s="191">
        <v>4000</v>
      </c>
      <c r="D63" s="192" t="s">
        <v>104</v>
      </c>
      <c r="E63" s="296">
        <f t="shared" si="7"/>
        <v>325</v>
      </c>
      <c r="F63" s="243">
        <f t="shared" si="8"/>
        <v>0.46242774566473988</v>
      </c>
    </row>
    <row r="64" spans="1:16" x14ac:dyDescent="0.2">
      <c r="A64" s="140" t="s">
        <v>173</v>
      </c>
      <c r="B64" s="141">
        <v>10700</v>
      </c>
      <c r="C64" s="191">
        <v>4900</v>
      </c>
      <c r="D64" s="192" t="s">
        <v>104</v>
      </c>
      <c r="E64" s="296">
        <f t="shared" si="7"/>
        <v>450</v>
      </c>
      <c r="F64" s="243">
        <f t="shared" si="8"/>
        <v>0.45794392523364486</v>
      </c>
    </row>
    <row r="65" spans="1:10" x14ac:dyDescent="0.2">
      <c r="A65" s="140" t="s">
        <v>174</v>
      </c>
      <c r="B65" s="141">
        <v>13100</v>
      </c>
      <c r="C65" s="191">
        <v>5600</v>
      </c>
      <c r="D65" s="192" t="s">
        <v>104</v>
      </c>
      <c r="E65" s="296">
        <f t="shared" si="7"/>
        <v>950</v>
      </c>
      <c r="F65" s="243">
        <f t="shared" si="8"/>
        <v>0.42748091603053434</v>
      </c>
    </row>
    <row r="66" spans="1:10" x14ac:dyDescent="0.2">
      <c r="A66" s="140" t="s">
        <v>175</v>
      </c>
      <c r="B66" s="141">
        <v>14700</v>
      </c>
      <c r="C66" s="191">
        <v>6600</v>
      </c>
      <c r="D66" s="192" t="s">
        <v>104</v>
      </c>
      <c r="E66" s="296">
        <f t="shared" si="7"/>
        <v>750</v>
      </c>
      <c r="F66" s="243">
        <f t="shared" si="8"/>
        <v>0.44897959183673469</v>
      </c>
    </row>
    <row r="67" spans="1:10" x14ac:dyDescent="0.2">
      <c r="A67" s="140" t="s">
        <v>176</v>
      </c>
      <c r="B67" s="141">
        <v>16900</v>
      </c>
      <c r="C67" s="191">
        <v>7700</v>
      </c>
      <c r="D67" s="192" t="s">
        <v>104</v>
      </c>
      <c r="E67" s="296">
        <f t="shared" si="7"/>
        <v>750</v>
      </c>
      <c r="F67" s="243">
        <f t="shared" si="8"/>
        <v>0.45562130177514792</v>
      </c>
    </row>
    <row r="69" spans="1:10" x14ac:dyDescent="0.2">
      <c r="A69" s="465" t="s">
        <v>335</v>
      </c>
      <c r="B69" s="465"/>
      <c r="C69" s="465"/>
      <c r="D69" s="465"/>
      <c r="E69" s="465"/>
      <c r="G69" s="472" t="s">
        <v>360</v>
      </c>
      <c r="H69" s="472"/>
      <c r="I69" s="472"/>
      <c r="J69" s="472"/>
    </row>
    <row r="70" spans="1:10" ht="25.5" x14ac:dyDescent="0.2">
      <c r="C70" s="134" t="s">
        <v>382</v>
      </c>
      <c r="D70" s="308">
        <v>1</v>
      </c>
      <c r="G70" s="59" t="s">
        <v>18</v>
      </c>
      <c r="H70" s="59" t="s">
        <v>361</v>
      </c>
      <c r="I70" s="131" t="s">
        <v>291</v>
      </c>
      <c r="J70" s="131" t="s">
        <v>359</v>
      </c>
    </row>
    <row r="71" spans="1:10" x14ac:dyDescent="0.2">
      <c r="A71" s="71" t="s">
        <v>315</v>
      </c>
      <c r="G71" s="126">
        <f>B39</f>
        <v>3</v>
      </c>
      <c r="H71" s="126">
        <f>G71*1170</f>
        <v>3510</v>
      </c>
      <c r="I71" s="254">
        <v>3850</v>
      </c>
      <c r="J71" s="190">
        <f>I71/H71</f>
        <v>1.0968660968660968</v>
      </c>
    </row>
    <row r="72" spans="1:10" ht="25.5" x14ac:dyDescent="0.2">
      <c r="A72" s="205" t="s">
        <v>317</v>
      </c>
      <c r="B72" s="164" t="s">
        <v>316</v>
      </c>
      <c r="C72" s="164" t="s">
        <v>322</v>
      </c>
      <c r="D72" s="164" t="s">
        <v>362</v>
      </c>
      <c r="E72" s="301" t="s">
        <v>383</v>
      </c>
      <c r="F72" s="301" t="s">
        <v>384</v>
      </c>
      <c r="G72" s="126">
        <f t="shared" ref="G72:G81" si="9">B40</f>
        <v>4</v>
      </c>
      <c r="H72" s="126">
        <f t="shared" ref="H72:H81" si="10">G72*1170</f>
        <v>4680</v>
      </c>
      <c r="I72" s="254">
        <v>4525</v>
      </c>
      <c r="J72" s="190">
        <f t="shared" ref="J72:J81" si="11">I72/H72</f>
        <v>0.96688034188034189</v>
      </c>
    </row>
    <row r="73" spans="1:10" x14ac:dyDescent="0.2">
      <c r="A73" s="198" t="s">
        <v>314</v>
      </c>
      <c r="B73" s="199">
        <v>1268.55085506506</v>
      </c>
      <c r="C73" s="126"/>
      <c r="D73" s="126"/>
      <c r="E73" s="126"/>
      <c r="F73" s="126"/>
      <c r="G73" s="126">
        <f t="shared" si="9"/>
        <v>5</v>
      </c>
      <c r="H73" s="126">
        <f t="shared" si="10"/>
        <v>5850</v>
      </c>
      <c r="I73" s="254">
        <v>5275</v>
      </c>
      <c r="J73" s="190">
        <f t="shared" si="11"/>
        <v>0.90170940170940173</v>
      </c>
    </row>
    <row r="74" spans="1:10" x14ac:dyDescent="0.2">
      <c r="A74" s="200" t="s">
        <v>308</v>
      </c>
      <c r="B74" s="201">
        <v>0</v>
      </c>
      <c r="C74" s="126"/>
      <c r="D74" s="126"/>
      <c r="E74" s="126"/>
      <c r="F74" s="126"/>
      <c r="G74" s="126">
        <f t="shared" si="9"/>
        <v>6</v>
      </c>
      <c r="H74" s="126">
        <f t="shared" si="10"/>
        <v>7020</v>
      </c>
      <c r="I74" s="254">
        <v>6200</v>
      </c>
      <c r="J74" s="190">
        <f t="shared" si="11"/>
        <v>0.88319088319088324</v>
      </c>
    </row>
    <row r="75" spans="1:10" x14ac:dyDescent="0.2">
      <c r="A75" s="203" t="s">
        <v>309</v>
      </c>
      <c r="B75" s="201">
        <v>1232.8888507205879</v>
      </c>
      <c r="C75" s="190">
        <f>B75/2340</f>
        <v>0.52687557723102052</v>
      </c>
      <c r="D75" s="126"/>
      <c r="E75" s="126"/>
      <c r="F75" s="126"/>
      <c r="G75" s="126">
        <f t="shared" si="9"/>
        <v>7.5</v>
      </c>
      <c r="H75" s="126">
        <f t="shared" si="10"/>
        <v>8775</v>
      </c>
      <c r="I75" s="254">
        <v>8125</v>
      </c>
      <c r="J75" s="190">
        <f t="shared" si="11"/>
        <v>0.92592592592592593</v>
      </c>
    </row>
    <row r="76" spans="1:10" x14ac:dyDescent="0.2">
      <c r="A76" s="203" t="s">
        <v>310</v>
      </c>
      <c r="B76" s="201">
        <v>1440.236367320588</v>
      </c>
      <c r="C76" s="190">
        <f>B76/3510</f>
        <v>0.41032375137338689</v>
      </c>
      <c r="D76" s="126"/>
      <c r="E76" s="126"/>
      <c r="F76" s="126"/>
      <c r="G76" s="126">
        <f t="shared" si="9"/>
        <v>8.5</v>
      </c>
      <c r="H76" s="126">
        <f t="shared" si="10"/>
        <v>9945</v>
      </c>
      <c r="I76" s="254">
        <v>8800</v>
      </c>
      <c r="J76" s="190">
        <f t="shared" si="11"/>
        <v>0.88486676721970836</v>
      </c>
    </row>
    <row r="77" spans="1:10" x14ac:dyDescent="0.2">
      <c r="A77" s="203" t="s">
        <v>311</v>
      </c>
      <c r="B77" s="201">
        <v>1830.442510970588</v>
      </c>
      <c r="C77" s="190">
        <f>B77/5850</f>
        <v>0.31289615572146806</v>
      </c>
      <c r="D77" s="126"/>
      <c r="E77" s="126"/>
      <c r="F77" s="126"/>
      <c r="G77" s="126">
        <f t="shared" si="9"/>
        <v>10</v>
      </c>
      <c r="H77" s="126">
        <f t="shared" si="10"/>
        <v>11700</v>
      </c>
      <c r="I77" s="254">
        <v>11600</v>
      </c>
      <c r="J77" s="190">
        <f t="shared" si="11"/>
        <v>0.99145299145299148</v>
      </c>
    </row>
    <row r="78" spans="1:10" x14ac:dyDescent="0.2">
      <c r="A78" s="203" t="s">
        <v>312</v>
      </c>
      <c r="B78" s="201">
        <v>2622.2911984705879</v>
      </c>
      <c r="C78" s="190">
        <f>B78/11700</f>
        <v>0.22412745286073402</v>
      </c>
      <c r="D78" s="126"/>
      <c r="E78" s="126"/>
      <c r="F78" s="126"/>
      <c r="G78" s="126">
        <f t="shared" si="9"/>
        <v>12.5</v>
      </c>
      <c r="H78" s="126">
        <f t="shared" si="10"/>
        <v>14625</v>
      </c>
      <c r="I78" s="254">
        <v>14900</v>
      </c>
      <c r="J78" s="190">
        <f t="shared" si="11"/>
        <v>1.0188034188034187</v>
      </c>
    </row>
    <row r="79" spans="1:10" x14ac:dyDescent="0.2">
      <c r="A79" s="203" t="s">
        <v>313</v>
      </c>
      <c r="B79" s="201">
        <v>3414.1398859705878</v>
      </c>
      <c r="C79" s="190">
        <f>B79/17550</f>
        <v>0.19453788524048934</v>
      </c>
      <c r="D79" s="126"/>
      <c r="E79" s="126"/>
      <c r="F79" s="126"/>
      <c r="G79" s="126">
        <f t="shared" si="9"/>
        <v>15</v>
      </c>
      <c r="H79" s="126">
        <f t="shared" si="10"/>
        <v>17550</v>
      </c>
      <c r="I79" s="254">
        <v>17000</v>
      </c>
      <c r="J79" s="190">
        <f t="shared" si="11"/>
        <v>0.96866096866096862</v>
      </c>
    </row>
    <row r="80" spans="1:10" x14ac:dyDescent="0.2">
      <c r="B80" s="59" t="s">
        <v>286</v>
      </c>
      <c r="C80" s="204">
        <f>AVERAGE(C75:C79)</f>
        <v>0.33375216448541972</v>
      </c>
      <c r="D80" s="204">
        <f>D81/1170</f>
        <v>8.5470085470085472E-2</v>
      </c>
      <c r="E80" s="294">
        <f>ROUND((C80-D80)*D70,1)</f>
        <v>0.2</v>
      </c>
      <c r="F80" s="294">
        <f>ROUND(C80*0.3,1)</f>
        <v>0.1</v>
      </c>
      <c r="G80" s="126">
        <f t="shared" si="9"/>
        <v>17.5</v>
      </c>
      <c r="H80" s="126">
        <f t="shared" si="10"/>
        <v>20475</v>
      </c>
      <c r="I80" s="254">
        <v>17800</v>
      </c>
      <c r="J80" s="190">
        <f t="shared" si="11"/>
        <v>0.86935286935286937</v>
      </c>
    </row>
    <row r="81" spans="1:10" x14ac:dyDescent="0.2">
      <c r="D81" s="204">
        <v>100</v>
      </c>
      <c r="E81" s="134" t="s">
        <v>356</v>
      </c>
      <c r="G81" s="126">
        <f t="shared" si="9"/>
        <v>20</v>
      </c>
      <c r="H81" s="126">
        <f t="shared" si="10"/>
        <v>23400</v>
      </c>
      <c r="I81" s="254">
        <v>23800</v>
      </c>
      <c r="J81" s="190">
        <f t="shared" si="11"/>
        <v>1.017094017094017</v>
      </c>
    </row>
    <row r="82" spans="1:10" x14ac:dyDescent="0.2">
      <c r="A82" s="71" t="s">
        <v>315</v>
      </c>
      <c r="I82" s="59" t="s">
        <v>286</v>
      </c>
      <c r="J82" s="204">
        <f>AVERAGE(J71:J81)</f>
        <v>0.95680033474151116</v>
      </c>
    </row>
    <row r="83" spans="1:10" ht="25.5" x14ac:dyDescent="0.2">
      <c r="A83" s="205" t="s">
        <v>321</v>
      </c>
      <c r="B83" s="164" t="s">
        <v>358</v>
      </c>
      <c r="C83" s="164" t="s">
        <v>357</v>
      </c>
      <c r="D83" s="164" t="s">
        <v>316</v>
      </c>
      <c r="E83" s="164" t="s">
        <v>322</v>
      </c>
      <c r="F83" s="164" t="s">
        <v>287</v>
      </c>
      <c r="G83" s="301" t="s">
        <v>383</v>
      </c>
      <c r="H83" s="301" t="s">
        <v>384</v>
      </c>
    </row>
    <row r="84" spans="1:10" x14ac:dyDescent="0.2">
      <c r="A84" s="207" t="s">
        <v>318</v>
      </c>
      <c r="B84" s="134" t="s">
        <v>104</v>
      </c>
      <c r="C84" s="134" t="s">
        <v>104</v>
      </c>
      <c r="D84" s="199">
        <v>0</v>
      </c>
      <c r="E84" s="126"/>
      <c r="F84" s="126"/>
      <c r="G84" s="126"/>
      <c r="H84" s="126"/>
    </row>
    <row r="85" spans="1:10" x14ac:dyDescent="0.2">
      <c r="A85" s="206" t="s">
        <v>319</v>
      </c>
      <c r="B85" s="192" t="s">
        <v>104</v>
      </c>
      <c r="C85" s="192" t="s">
        <v>104</v>
      </c>
      <c r="D85" s="202">
        <v>11201.3781008806</v>
      </c>
      <c r="E85" s="190">
        <f>D85/3000</f>
        <v>3.7337927002935332</v>
      </c>
      <c r="F85" s="126"/>
      <c r="G85" s="126"/>
      <c r="H85" s="126"/>
    </row>
    <row r="86" spans="1:10" x14ac:dyDescent="0.2">
      <c r="A86" s="206" t="s">
        <v>320</v>
      </c>
      <c r="B86" s="134" t="s">
        <v>104</v>
      </c>
      <c r="C86" s="134" t="s">
        <v>104</v>
      </c>
      <c r="D86" s="202">
        <v>127465.526100881</v>
      </c>
      <c r="E86" s="190">
        <f>D86/45000</f>
        <v>2.8325672466862444</v>
      </c>
      <c r="F86" s="126"/>
      <c r="G86" s="126"/>
      <c r="H86" s="126"/>
    </row>
    <row r="87" spans="1:10" x14ac:dyDescent="0.2">
      <c r="A87" s="59" t="s">
        <v>286</v>
      </c>
      <c r="B87" s="191">
        <f>D50</f>
        <v>1119.4563916475681</v>
      </c>
      <c r="C87" s="190">
        <f>J82</f>
        <v>0.95680033474151116</v>
      </c>
      <c r="E87" s="204">
        <f>AVERAGE(E85:E86)</f>
        <v>3.2831799734898888</v>
      </c>
      <c r="F87" s="204">
        <v>0</v>
      </c>
      <c r="G87" s="294">
        <v>1</v>
      </c>
      <c r="H87" s="295">
        <f>ROUND(E87*0.3,1)</f>
        <v>1</v>
      </c>
    </row>
    <row r="88" spans="1:10" x14ac:dyDescent="0.2">
      <c r="H88" s="124"/>
    </row>
    <row r="89" spans="1:10" x14ac:dyDescent="0.2">
      <c r="A89" s="465" t="s">
        <v>212</v>
      </c>
      <c r="B89" s="465"/>
      <c r="C89" s="465"/>
      <c r="D89" s="465"/>
      <c r="E89" s="465"/>
    </row>
    <row r="90" spans="1:10" x14ac:dyDescent="0.2">
      <c r="A90" s="134" t="s">
        <v>212</v>
      </c>
      <c r="B90" s="85">
        <v>100</v>
      </c>
      <c r="C90" s="193" t="s">
        <v>303</v>
      </c>
    </row>
    <row r="91" spans="1:10" x14ac:dyDescent="0.2">
      <c r="A91" s="140" t="s">
        <v>305</v>
      </c>
      <c r="B91" s="126">
        <f>AVERAGE(27,25,25,20)</f>
        <v>24.25</v>
      </c>
      <c r="C91" s="193" t="s">
        <v>304</v>
      </c>
    </row>
    <row r="92" spans="1:10" x14ac:dyDescent="0.2">
      <c r="A92" s="140" t="s">
        <v>306</v>
      </c>
      <c r="B92" s="85">
        <f>B90-B91</f>
        <v>75.75</v>
      </c>
    </row>
    <row r="93" spans="1:10" x14ac:dyDescent="0.2">
      <c r="A93" s="140" t="s">
        <v>287</v>
      </c>
      <c r="B93" s="85">
        <v>0</v>
      </c>
    </row>
    <row r="94" spans="1:10" x14ac:dyDescent="0.2">
      <c r="A94" s="205" t="s">
        <v>307</v>
      </c>
      <c r="B94" s="293">
        <f>B90</f>
        <v>100</v>
      </c>
    </row>
    <row r="96" spans="1:10" ht="18" x14ac:dyDescent="0.25">
      <c r="A96" s="383" t="s">
        <v>405</v>
      </c>
    </row>
    <row r="97" spans="1:2" x14ac:dyDescent="0.2">
      <c r="A97" s="73" t="s">
        <v>403</v>
      </c>
      <c r="B97" s="73" t="s">
        <v>412</v>
      </c>
    </row>
    <row r="98" spans="1:2" x14ac:dyDescent="0.2">
      <c r="A98" s="124">
        <v>15</v>
      </c>
      <c r="B98" s="381">
        <v>80</v>
      </c>
    </row>
    <row r="99" spans="1:2" x14ac:dyDescent="0.2">
      <c r="A99">
        <v>16</v>
      </c>
      <c r="B99" s="381">
        <v>120</v>
      </c>
    </row>
    <row r="100" spans="1:2" x14ac:dyDescent="0.2">
      <c r="A100">
        <v>17</v>
      </c>
      <c r="B100" s="381">
        <v>240</v>
      </c>
    </row>
    <row r="101" spans="1:2" x14ac:dyDescent="0.2">
      <c r="A101">
        <v>18</v>
      </c>
      <c r="B101" s="381">
        <v>500</v>
      </c>
    </row>
    <row r="103" spans="1:2" x14ac:dyDescent="0.2">
      <c r="A103" s="73" t="s">
        <v>404</v>
      </c>
      <c r="B103" s="73" t="s">
        <v>412</v>
      </c>
    </row>
    <row r="104" spans="1:2" x14ac:dyDescent="0.2">
      <c r="A104">
        <v>13</v>
      </c>
      <c r="B104" s="382">
        <v>60</v>
      </c>
    </row>
    <row r="105" spans="1:2" x14ac:dyDescent="0.2">
      <c r="A105" s="124">
        <v>13.8</v>
      </c>
      <c r="B105" s="381">
        <v>80</v>
      </c>
    </row>
    <row r="106" spans="1:2" x14ac:dyDescent="0.2">
      <c r="A106" s="124">
        <v>14.6</v>
      </c>
      <c r="B106" s="381">
        <v>100</v>
      </c>
    </row>
    <row r="107" spans="1:2" x14ac:dyDescent="0.2">
      <c r="A107" s="124">
        <v>18</v>
      </c>
      <c r="B107" s="381">
        <v>240</v>
      </c>
    </row>
    <row r="109" spans="1:2" x14ac:dyDescent="0.2">
      <c r="A109" s="73" t="s">
        <v>410</v>
      </c>
      <c r="B109" s="73" t="s">
        <v>411</v>
      </c>
    </row>
    <row r="110" spans="1:2" x14ac:dyDescent="0.2">
      <c r="A110" t="s">
        <v>413</v>
      </c>
    </row>
    <row r="111" spans="1:2" x14ac:dyDescent="0.2">
      <c r="A111" s="275">
        <v>0.55000000000000004</v>
      </c>
      <c r="B111" s="217">
        <v>0.5</v>
      </c>
    </row>
    <row r="112" spans="1:2" x14ac:dyDescent="0.2">
      <c r="A112" s="275">
        <v>0.65</v>
      </c>
      <c r="B112" s="217">
        <v>0.75</v>
      </c>
    </row>
    <row r="113" spans="1:2" x14ac:dyDescent="0.2">
      <c r="A113" s="275">
        <v>0.75</v>
      </c>
      <c r="B113" s="217">
        <v>1</v>
      </c>
    </row>
    <row r="114" spans="1:2" x14ac:dyDescent="0.2">
      <c r="A114" s="275">
        <v>0.85</v>
      </c>
      <c r="B114" s="217">
        <v>1.25</v>
      </c>
    </row>
    <row r="115" spans="1:2" x14ac:dyDescent="0.2">
      <c r="A115" t="s">
        <v>414</v>
      </c>
    </row>
    <row r="116" spans="1:2" x14ac:dyDescent="0.2">
      <c r="A116" s="275">
        <v>0.65</v>
      </c>
      <c r="B116" s="217">
        <v>0.25</v>
      </c>
    </row>
    <row r="117" spans="1:2" x14ac:dyDescent="0.2">
      <c r="A117" s="275">
        <v>0.75</v>
      </c>
      <c r="B117" s="217">
        <v>0.5</v>
      </c>
    </row>
    <row r="118" spans="1:2" x14ac:dyDescent="0.2">
      <c r="A118" s="275">
        <v>0.85</v>
      </c>
      <c r="B118" s="217">
        <v>0.75</v>
      </c>
    </row>
    <row r="119" spans="1:2" x14ac:dyDescent="0.2">
      <c r="A119" s="73" t="s">
        <v>415</v>
      </c>
    </row>
    <row r="120" spans="1:2" x14ac:dyDescent="0.2">
      <c r="A120" t="s">
        <v>413</v>
      </c>
      <c r="B120" s="73"/>
    </row>
    <row r="121" spans="1:2" x14ac:dyDescent="0.2">
      <c r="A121" s="275">
        <v>0.55000000000000004</v>
      </c>
      <c r="B121" s="217">
        <v>1</v>
      </c>
    </row>
    <row r="122" spans="1:2" x14ac:dyDescent="0.2">
      <c r="A122" s="275">
        <v>0.65</v>
      </c>
      <c r="B122" s="217">
        <v>1.25</v>
      </c>
    </row>
    <row r="123" spans="1:2" x14ac:dyDescent="0.2">
      <c r="A123" s="275">
        <v>0.75</v>
      </c>
      <c r="B123" s="217">
        <v>1.5</v>
      </c>
    </row>
    <row r="124" spans="1:2" x14ac:dyDescent="0.2">
      <c r="A124" s="275">
        <v>0.85</v>
      </c>
      <c r="B124" s="217">
        <v>1.75</v>
      </c>
    </row>
    <row r="125" spans="1:2" x14ac:dyDescent="0.2">
      <c r="A125" t="s">
        <v>414</v>
      </c>
    </row>
    <row r="126" spans="1:2" x14ac:dyDescent="0.2">
      <c r="A126" s="275">
        <v>0.65</v>
      </c>
      <c r="B126" s="217">
        <v>0.5</v>
      </c>
    </row>
    <row r="127" spans="1:2" x14ac:dyDescent="0.2">
      <c r="A127" s="275">
        <v>0.75</v>
      </c>
      <c r="B127" s="217">
        <v>0.75</v>
      </c>
    </row>
    <row r="128" spans="1:2" x14ac:dyDescent="0.2">
      <c r="A128" s="275">
        <v>0.85</v>
      </c>
      <c r="B128" s="217">
        <v>1.1499999999999999</v>
      </c>
    </row>
  </sheetData>
  <sheetProtection selectLockedCells="1"/>
  <mergeCells count="23">
    <mergeCell ref="G69:J69"/>
    <mergeCell ref="H2:I2"/>
    <mergeCell ref="A1:E1"/>
    <mergeCell ref="A13:E13"/>
    <mergeCell ref="A27:E27"/>
    <mergeCell ref="D2:G2"/>
    <mergeCell ref="A21:B21"/>
    <mergeCell ref="A22:B22"/>
    <mergeCell ref="A23:B23"/>
    <mergeCell ref="A24:B24"/>
    <mergeCell ref="A20:B20"/>
    <mergeCell ref="A2:C2"/>
    <mergeCell ref="A16:B16"/>
    <mergeCell ref="A15:B15"/>
    <mergeCell ref="A89:E89"/>
    <mergeCell ref="D14:F14"/>
    <mergeCell ref="B36:F36"/>
    <mergeCell ref="B37:F37"/>
    <mergeCell ref="A52:E52"/>
    <mergeCell ref="A69:E69"/>
    <mergeCell ref="A19:B19"/>
    <mergeCell ref="A18:B18"/>
    <mergeCell ref="A17:B17"/>
  </mergeCells>
  <hyperlinks>
    <hyperlink ref="K1" r:id="rId1" xr:uid="{00000000-0004-0000-0200-000000000000}"/>
    <hyperlink ref="G14" r:id="rId2" xr:uid="{00000000-0004-0000-0200-000001000000}"/>
    <hyperlink ref="C53" r:id="rId3" xr:uid="{00000000-0004-0000-0200-000002000000}"/>
    <hyperlink ref="C90" r:id="rId4" xr:uid="{00000000-0004-0000-0200-000003000000}"/>
    <hyperlink ref="C91" r:id="rId5" xr:uid="{00000000-0004-0000-0200-000004000000}"/>
  </hyperlinks>
  <pageMargins left="0.7" right="0.7" top="0.75" bottom="0.75" header="0.3" footer="0.3"/>
  <pageSetup orientation="portrait" verticalDpi="1200"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HVAC Rebate Estimator</vt:lpstr>
      <vt:lpstr>Lookups</vt:lpstr>
      <vt:lpstr>Incremental Cost</vt:lpstr>
      <vt:lpstr>Baseline_Eff_lookup</vt:lpstr>
      <vt:lpstr>DateRange_lookup</vt:lpstr>
      <vt:lpstr>Economizer_Savings_Lookup</vt:lpstr>
      <vt:lpstr>EFLH_lookup</vt:lpstr>
      <vt:lpstr>EvapCooler_lookup</vt:lpstr>
      <vt:lpstr>Fan_Operating_Hrs_lookup</vt:lpstr>
      <vt:lpstr>'HVAC Rebate Estimator'!Print_Area</vt:lpstr>
      <vt:lpstr>ProgramThermostat_Savings_lookup</vt:lpstr>
      <vt:lpstr>VFD_HP_lookup</vt:lpstr>
      <vt:lpstr>VFD_MotorEff_lookup</vt:lpstr>
      <vt:lpstr>VFD_Rebate_lookup</vt:lpstr>
    </vt:vector>
  </TitlesOfParts>
  <Company>Nexant,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Schroeder</dc:creator>
  <cp:lastModifiedBy>Swank, Zac</cp:lastModifiedBy>
  <cp:lastPrinted>2014-12-09T16:40:52Z</cp:lastPrinted>
  <dcterms:created xsi:type="dcterms:W3CDTF">2009-02-10T22:41:10Z</dcterms:created>
  <dcterms:modified xsi:type="dcterms:W3CDTF">2022-01-28T19:06:41Z</dcterms:modified>
</cp:coreProperties>
</file>